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ivotTables/pivotTable1.xml" ContentType="application/vnd.openxmlformats-officedocument.spreadsheetml.pivotTable+xml"/>
  <Override PartName="/xl/tables/table1.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330" codeName="{61638066-69CD-5DBD-CD94-FFEC8A4DF156}"/>
  <workbookPr codeName="ThisWorkbook" defaultThemeVersion="124226"/>
  <mc:AlternateContent xmlns:mc="http://schemas.openxmlformats.org/markup-compatibility/2006">
    <mc:Choice Requires="x15">
      <x15ac:absPath xmlns:x15ac="http://schemas.microsoft.com/office/spreadsheetml/2010/11/ac" url="C:\Users\DM5764\Desktop\"/>
    </mc:Choice>
  </mc:AlternateContent>
  <xr:revisionPtr revIDLastSave="0" documentId="13_ncr:1_{6628D689-C7F3-4C25-8EB9-0330EAD42FC8}" xr6:coauthVersionLast="33" xr6:coauthVersionMax="33" xr10:uidLastSave="{00000000-0000-0000-0000-000000000000}"/>
  <bookViews>
    <workbookView xWindow="0" yWindow="0" windowWidth="19200" windowHeight="8610" tabRatio="865" activeTab="8" xr2:uid="{00000000-000D-0000-FFFF-FFFF00000000}"/>
  </bookViews>
  <sheets>
    <sheet name="Sachet" sheetId="6" r:id="rId1"/>
    <sheet name="Customs Nom" sheetId="11" r:id="rId2"/>
    <sheet name="Conversion Ct Gr Kg" sheetId="2" r:id="rId3"/>
    <sheet name="Carton" sheetId="3" r:id="rId4"/>
    <sheet name="Produits" sheetId="12" r:id="rId5"/>
    <sheet name="Clients" sheetId="9" r:id="rId6"/>
    <sheet name="Tableau Croisé" sheetId="20" r:id="rId7"/>
    <sheet name="Tableau des Données" sheetId="21" r:id="rId8"/>
    <sheet name="Transfert de Données" sheetId="16" r:id="rId9"/>
    <sheet name="Facture" sheetId="1" r:id="rId10"/>
    <sheet name="Packing List" sheetId="13" r:id="rId11"/>
    <sheet name="Feuil1" sheetId="22" r:id="rId12"/>
  </sheets>
  <externalReferences>
    <externalReference r:id="rId13"/>
  </externalReferences>
  <definedNames>
    <definedName name="_xlnm._FilterDatabase" localSheetId="9" hidden="1">Facture!#REF!</definedName>
    <definedName name="_xlnm._FilterDatabase" localSheetId="10" hidden="1">'Packing List'!$B$18:$B$79</definedName>
    <definedName name="Clients">Clients!$B$4:$B$53</definedName>
    <definedName name="Customs_Nomenclature">'Customs Nom'!$B$4:$B$100</definedName>
    <definedName name="_xlnm.Extract" localSheetId="9">Facture!$B$15:$B$42</definedName>
    <definedName name="_xlnm.Extract" localSheetId="10">'Packing List'!$I$19:$I$48</definedName>
    <definedName name="FOB">[1]Liste!$B$28:$B$30</definedName>
    <definedName name="_xlnm.Print_Titles" localSheetId="10">'Packing List'!$1:$18</definedName>
    <definedName name="Incoterms">Facture!$O$2:$O$4</definedName>
    <definedName name="ListePierres">[1]Liste!$C$28:$C$34</definedName>
    <definedName name="Monnaie">Facture!$M$8:$M$11</definedName>
    <definedName name="Nomenclature">Facture!#REF!</definedName>
    <definedName name="Pack">OFFSET('Packing List'!$B$19,,,COUNTA('Packing List'!$B$19:$B$79))</definedName>
    <definedName name="Pierres">Facture!#REF!</definedName>
    <definedName name="Produits">Produits!$B$3:$B$102</definedName>
    <definedName name="Référence_Carton">Carton!$B$5:$B$61</definedName>
    <definedName name="_xlnm.Print_Area" localSheetId="9">Facture!$A$1:$H$58</definedName>
    <definedName name="_xlnm.Print_Area" localSheetId="10">'Packing List'!$A$1:$I$91</definedName>
  </definedNames>
  <calcPr calcId="179017"/>
  <pivotCaches>
    <pivotCache cacheId="0" r:id="rId14"/>
  </pivotCaches>
</workbook>
</file>

<file path=xl/calcChain.xml><?xml version="1.0" encoding="utf-8"?>
<calcChain xmlns="http://schemas.openxmlformats.org/spreadsheetml/2006/main">
  <c r="J20" i="13" l="1"/>
  <c r="J21" i="13"/>
  <c r="J22" i="13"/>
  <c r="J23" i="13"/>
  <c r="J24" i="13"/>
  <c r="J25" i="13"/>
  <c r="J26" i="13"/>
  <c r="J27" i="13"/>
  <c r="J28" i="13"/>
  <c r="J29" i="13"/>
  <c r="J30" i="13"/>
  <c r="J31" i="13"/>
  <c r="J32" i="13"/>
  <c r="J33" i="13"/>
  <c r="J34" i="13"/>
  <c r="J35" i="13"/>
  <c r="J36" i="13"/>
  <c r="J37" i="13"/>
  <c r="J38" i="13"/>
  <c r="J39" i="13"/>
  <c r="J40" i="13"/>
  <c r="J41" i="13"/>
  <c r="J42" i="13"/>
  <c r="J43" i="13"/>
  <c r="J44" i="13"/>
  <c r="J45" i="13"/>
  <c r="J46" i="13"/>
  <c r="J47" i="13"/>
  <c r="J48" i="13"/>
  <c r="J49" i="13"/>
  <c r="J50" i="13"/>
  <c r="J51" i="13"/>
  <c r="J52" i="13"/>
  <c r="J53" i="13"/>
  <c r="J54" i="13"/>
  <c r="J55" i="13"/>
  <c r="J56" i="13"/>
  <c r="J57" i="13"/>
  <c r="J58" i="13"/>
  <c r="J59" i="13"/>
  <c r="J60" i="13"/>
  <c r="J61" i="13"/>
  <c r="J62" i="13"/>
  <c r="J63" i="13"/>
  <c r="J64" i="13"/>
  <c r="J65" i="13"/>
  <c r="J66" i="13"/>
  <c r="J67" i="13"/>
  <c r="J68" i="13"/>
  <c r="J69" i="13"/>
  <c r="J70" i="13"/>
  <c r="J71" i="13"/>
  <c r="J72" i="13"/>
  <c r="J73" i="13"/>
  <c r="J74" i="13"/>
  <c r="J75" i="13"/>
  <c r="J76" i="13"/>
  <c r="J77" i="13"/>
  <c r="J78" i="13"/>
  <c r="J79" i="13"/>
  <c r="J19" i="13"/>
  <c r="C21" i="13"/>
  <c r="C20" i="13"/>
  <c r="C22" i="13"/>
  <c r="C23" i="13"/>
  <c r="C24" i="13"/>
  <c r="C25" i="13"/>
  <c r="C26" i="13"/>
  <c r="C27" i="13"/>
  <c r="C28" i="13"/>
  <c r="C29" i="13"/>
  <c r="C30" i="13"/>
  <c r="C31" i="13"/>
  <c r="C32" i="13"/>
  <c r="C33" i="13"/>
  <c r="C34" i="13"/>
  <c r="C35" i="13"/>
  <c r="C36" i="13"/>
  <c r="C37" i="13"/>
  <c r="C38" i="13"/>
  <c r="C39" i="13"/>
  <c r="C40" i="13"/>
  <c r="C41" i="13"/>
  <c r="C42" i="13"/>
  <c r="C43" i="13"/>
  <c r="C44" i="13"/>
  <c r="C45" i="13"/>
  <c r="C46" i="13"/>
  <c r="C47" i="13"/>
  <c r="C48" i="13"/>
  <c r="C49" i="13"/>
  <c r="C50" i="13"/>
  <c r="C51" i="13"/>
  <c r="C52" i="13"/>
  <c r="C53" i="13"/>
  <c r="C54" i="13"/>
  <c r="C55" i="13"/>
  <c r="C56" i="13"/>
  <c r="C57" i="13"/>
  <c r="C58" i="13"/>
  <c r="C59" i="13"/>
  <c r="C60" i="13"/>
  <c r="C61" i="13"/>
  <c r="C62" i="13"/>
  <c r="C63" i="13"/>
  <c r="C64" i="13"/>
  <c r="C65" i="13"/>
  <c r="C66" i="13"/>
  <c r="C67" i="13"/>
  <c r="C68" i="13"/>
  <c r="C69" i="13"/>
  <c r="C70" i="13"/>
  <c r="C71" i="13"/>
  <c r="C72" i="13"/>
  <c r="C73" i="13"/>
  <c r="C74" i="13"/>
  <c r="C75" i="13"/>
  <c r="C76" i="13"/>
  <c r="C77" i="13"/>
  <c r="C78" i="13"/>
  <c r="C79" i="13"/>
  <c r="C19" i="13"/>
  <c r="P6" i="16"/>
  <c r="P7" i="16"/>
  <c r="P8" i="16"/>
  <c r="P9" i="16"/>
  <c r="P10" i="16"/>
  <c r="P11" i="16"/>
  <c r="P12" i="16"/>
  <c r="P13" i="16"/>
  <c r="P14" i="16"/>
  <c r="P15" i="16"/>
  <c r="P16" i="16"/>
  <c r="P17" i="16"/>
  <c r="P18" i="16"/>
  <c r="P19" i="16"/>
  <c r="P20" i="16"/>
  <c r="P21" i="16"/>
  <c r="P22" i="16"/>
  <c r="P23" i="16"/>
  <c r="P24" i="16"/>
  <c r="P25" i="16"/>
  <c r="P26" i="16"/>
  <c r="P27" i="16"/>
  <c r="P28" i="16"/>
  <c r="P29" i="16"/>
  <c r="M4" i="16"/>
  <c r="M5" i="16"/>
  <c r="M6" i="16"/>
  <c r="M7" i="16"/>
  <c r="M8" i="16"/>
  <c r="M9" i="16"/>
  <c r="M10" i="16"/>
  <c r="M11" i="16"/>
  <c r="M12" i="16"/>
  <c r="M13" i="16"/>
  <c r="M14" i="16"/>
  <c r="M15" i="16"/>
  <c r="M16" i="16"/>
  <c r="M17" i="16"/>
  <c r="M18" i="16"/>
  <c r="M19" i="16"/>
  <c r="M20" i="16"/>
  <c r="M21" i="16"/>
  <c r="M22" i="16"/>
  <c r="M23" i="16"/>
  <c r="M24" i="16"/>
  <c r="M25" i="16"/>
  <c r="M26" i="16"/>
  <c r="M27" i="16"/>
  <c r="M28" i="16"/>
  <c r="M29" i="16"/>
  <c r="M3" i="16"/>
  <c r="P3" i="16"/>
  <c r="O3" i="16"/>
  <c r="O5" i="16"/>
  <c r="O6" i="16"/>
  <c r="O7" i="16"/>
  <c r="O8" i="16"/>
  <c r="O9" i="16"/>
  <c r="O10" i="16"/>
  <c r="O11" i="16"/>
  <c r="O12" i="16"/>
  <c r="O13" i="16"/>
  <c r="O14" i="16"/>
  <c r="O15" i="16"/>
  <c r="O16" i="16"/>
  <c r="O17" i="16"/>
  <c r="O18" i="16"/>
  <c r="O19" i="16"/>
  <c r="O20" i="16"/>
  <c r="O21" i="16"/>
  <c r="O22" i="16"/>
  <c r="O23" i="16"/>
  <c r="O24" i="16"/>
  <c r="O25" i="16"/>
  <c r="O26" i="16"/>
  <c r="O27" i="16"/>
  <c r="O28" i="16"/>
  <c r="O29" i="16"/>
  <c r="P4" i="16"/>
  <c r="P5" i="16"/>
  <c r="O4" i="16"/>
  <c r="K9" i="16" l="1"/>
  <c r="K3" i="16"/>
  <c r="K4" i="16"/>
  <c r="K5" i="16"/>
  <c r="K6" i="16"/>
  <c r="K7" i="16"/>
  <c r="K8" i="16"/>
  <c r="K10" i="16"/>
  <c r="K11" i="16"/>
  <c r="K12" i="16"/>
  <c r="K13" i="16"/>
  <c r="K14" i="16"/>
  <c r="K15" i="16"/>
  <c r="K16" i="16"/>
  <c r="K17" i="16"/>
  <c r="K18" i="16"/>
  <c r="K19" i="16"/>
  <c r="K20" i="16"/>
  <c r="K21" i="16"/>
  <c r="K22" i="16"/>
  <c r="K23" i="16"/>
  <c r="K24" i="16"/>
  <c r="K25" i="16"/>
  <c r="K26" i="16"/>
  <c r="K27" i="16"/>
  <c r="K28" i="16"/>
  <c r="K29" i="16"/>
  <c r="F19" i="13"/>
  <c r="F20" i="13"/>
  <c r="F21" i="13"/>
  <c r="F22" i="13"/>
  <c r="F23" i="13"/>
  <c r="F24" i="13"/>
  <c r="F25" i="13"/>
  <c r="F26" i="13"/>
  <c r="F27" i="13"/>
  <c r="F28" i="13"/>
  <c r="F29" i="13"/>
  <c r="F30" i="13"/>
  <c r="F31" i="13"/>
  <c r="F32" i="13"/>
  <c r="F33" i="13"/>
  <c r="F34" i="13"/>
  <c r="F35" i="13"/>
  <c r="F36" i="13"/>
  <c r="F37" i="13"/>
  <c r="F38" i="13"/>
  <c r="F39" i="13"/>
  <c r="F40" i="13"/>
  <c r="F41" i="13"/>
  <c r="F42" i="13"/>
  <c r="F43" i="13"/>
  <c r="F44" i="13"/>
  <c r="F45" i="13"/>
  <c r="F46" i="13"/>
  <c r="F47" i="13"/>
  <c r="F48" i="13"/>
  <c r="F49" i="13"/>
  <c r="F50" i="13"/>
  <c r="F51" i="13"/>
  <c r="F52" i="13"/>
  <c r="F53" i="13"/>
  <c r="F54" i="13"/>
  <c r="F55" i="13"/>
  <c r="F56" i="13"/>
  <c r="F57" i="13"/>
  <c r="F58" i="13"/>
  <c r="F59" i="13"/>
  <c r="F60" i="13"/>
  <c r="F61" i="13"/>
  <c r="F62" i="13"/>
  <c r="F63" i="13"/>
  <c r="F64" i="13"/>
  <c r="F65" i="13"/>
  <c r="F66" i="13"/>
  <c r="F67" i="13"/>
  <c r="F68" i="13"/>
  <c r="F69" i="13"/>
  <c r="F70" i="13"/>
  <c r="F71" i="13"/>
  <c r="F72" i="13"/>
  <c r="F73" i="13"/>
  <c r="F74" i="13"/>
  <c r="F75" i="13"/>
  <c r="F76" i="13"/>
  <c r="F77" i="13"/>
  <c r="F78" i="13"/>
  <c r="F79" i="13"/>
  <c r="L3" i="16"/>
  <c r="C21" i="1" l="1"/>
  <c r="C22" i="1"/>
  <c r="C23" i="1"/>
  <c r="C17" i="1"/>
  <c r="C18" i="1"/>
  <c r="C19" i="1"/>
  <c r="C20" i="1"/>
  <c r="C24" i="1"/>
  <c r="C25" i="1"/>
  <c r="C26" i="1"/>
  <c r="C27" i="1"/>
  <c r="C28" i="1"/>
  <c r="C29" i="1"/>
  <c r="C30" i="1"/>
  <c r="C31" i="1"/>
  <c r="C32" i="1"/>
  <c r="C33" i="1"/>
  <c r="C34" i="1"/>
  <c r="C35" i="1"/>
  <c r="C36" i="1"/>
  <c r="C37" i="1"/>
  <c r="C38" i="1"/>
  <c r="C39" i="1"/>
  <c r="C40" i="1"/>
  <c r="C41" i="1"/>
  <c r="C42" i="1"/>
  <c r="C16" i="1"/>
  <c r="F42" i="1"/>
  <c r="F41" i="1"/>
  <c r="F40" i="1"/>
  <c r="F39" i="1"/>
  <c r="F38" i="1"/>
  <c r="F37" i="1"/>
  <c r="F36" i="1"/>
  <c r="F35" i="1"/>
  <c r="F34" i="1"/>
  <c r="F33" i="1"/>
  <c r="F32" i="1"/>
  <c r="F31" i="1"/>
  <c r="F30" i="1"/>
  <c r="F29" i="1"/>
  <c r="F28" i="1"/>
  <c r="F27" i="1"/>
  <c r="F26" i="1"/>
  <c r="F25" i="1"/>
  <c r="F24" i="1"/>
  <c r="F23" i="1"/>
  <c r="F22" i="1"/>
  <c r="E42" i="1"/>
  <c r="E41" i="1"/>
  <c r="E40" i="1"/>
  <c r="E39" i="1"/>
  <c r="E38" i="1"/>
  <c r="E37" i="1"/>
  <c r="E36" i="1"/>
  <c r="E35" i="1"/>
  <c r="E34" i="1"/>
  <c r="E33" i="1"/>
  <c r="E32" i="1"/>
  <c r="E31" i="1"/>
  <c r="E30" i="1"/>
  <c r="E29" i="1"/>
  <c r="E28" i="1"/>
  <c r="E27" i="1"/>
  <c r="E26" i="1"/>
  <c r="E25" i="1"/>
  <c r="E24" i="1"/>
  <c r="E23" i="1"/>
  <c r="E22" i="1"/>
  <c r="E21" i="1"/>
  <c r="E20" i="1"/>
  <c r="E19" i="1"/>
  <c r="E18" i="1"/>
  <c r="E17" i="1"/>
  <c r="H22" i="1"/>
  <c r="H23" i="1"/>
  <c r="H24" i="1"/>
  <c r="H25" i="1"/>
  <c r="H26" i="1"/>
  <c r="H27" i="1"/>
  <c r="H28" i="1"/>
  <c r="H29" i="1"/>
  <c r="H30" i="1"/>
  <c r="H31" i="1"/>
  <c r="H32" i="1"/>
  <c r="H33" i="1"/>
  <c r="H34" i="1"/>
  <c r="H35" i="1"/>
  <c r="H36" i="1"/>
  <c r="H37" i="1"/>
  <c r="H38" i="1"/>
  <c r="H39" i="1"/>
  <c r="H40" i="1"/>
  <c r="H41" i="1"/>
  <c r="H42" i="1"/>
  <c r="E16" i="1"/>
  <c r="D19" i="1" l="1"/>
  <c r="L4" i="16"/>
  <c r="N4" i="16"/>
  <c r="L5" i="16"/>
  <c r="N5" i="16"/>
  <c r="L6" i="16"/>
  <c r="N6" i="16"/>
  <c r="L7" i="16"/>
  <c r="N7" i="16"/>
  <c r="L8" i="16"/>
  <c r="N8" i="16"/>
  <c r="L9" i="16"/>
  <c r="N9" i="16"/>
  <c r="L10" i="16"/>
  <c r="N10" i="16"/>
  <c r="L11" i="16"/>
  <c r="N11" i="16"/>
  <c r="L12" i="16"/>
  <c r="N12" i="16"/>
  <c r="L13" i="16"/>
  <c r="N13" i="16"/>
  <c r="L14" i="16"/>
  <c r="N14" i="16"/>
  <c r="L15" i="16"/>
  <c r="N15" i="16"/>
  <c r="L16" i="16"/>
  <c r="N16" i="16"/>
  <c r="L17" i="16"/>
  <c r="N17" i="16"/>
  <c r="L18" i="16"/>
  <c r="N18" i="16"/>
  <c r="L19" i="16"/>
  <c r="N19" i="16"/>
  <c r="L20" i="16"/>
  <c r="N20" i="16"/>
  <c r="L21" i="16"/>
  <c r="N21" i="16"/>
  <c r="L22" i="16"/>
  <c r="N22" i="16"/>
  <c r="L23" i="16"/>
  <c r="N23" i="16"/>
  <c r="L24" i="16"/>
  <c r="N24" i="16"/>
  <c r="L25" i="16"/>
  <c r="N25" i="16"/>
  <c r="L26" i="16"/>
  <c r="N26" i="16"/>
  <c r="L27" i="16"/>
  <c r="N27" i="16"/>
  <c r="L28" i="16"/>
  <c r="N28" i="16"/>
  <c r="L29" i="16"/>
  <c r="N29" i="16"/>
  <c r="N3" i="16"/>
  <c r="I33" i="13" l="1"/>
  <c r="I34" i="13"/>
  <c r="I35" i="13"/>
  <c r="I36" i="13"/>
  <c r="I37" i="13"/>
  <c r="I38" i="13"/>
  <c r="I39" i="13"/>
  <c r="I40" i="13"/>
  <c r="I41" i="13"/>
  <c r="I42" i="13"/>
  <c r="I43" i="13"/>
  <c r="I44" i="13"/>
  <c r="I45" i="13"/>
  <c r="I46" i="13"/>
  <c r="I47" i="13"/>
  <c r="I48" i="13"/>
  <c r="I49" i="13"/>
  <c r="I50" i="13"/>
  <c r="I51" i="13"/>
  <c r="I52" i="13"/>
  <c r="I53" i="13"/>
  <c r="I54" i="13"/>
  <c r="I55" i="13"/>
  <c r="I56" i="13"/>
  <c r="I57" i="13"/>
  <c r="I58" i="13"/>
  <c r="I59" i="13"/>
  <c r="I60" i="13"/>
  <c r="I61" i="13"/>
  <c r="I62" i="13"/>
  <c r="I63" i="13"/>
  <c r="I64" i="13"/>
  <c r="I65" i="13"/>
  <c r="I66" i="13"/>
  <c r="I67" i="13"/>
  <c r="I68" i="13"/>
  <c r="I69" i="13"/>
  <c r="I70" i="13"/>
  <c r="I71" i="13"/>
  <c r="I72" i="13"/>
  <c r="I73" i="13"/>
  <c r="I74" i="13"/>
  <c r="I75" i="13"/>
  <c r="I76" i="13"/>
  <c r="I77" i="13"/>
  <c r="I78" i="13"/>
  <c r="I79" i="13"/>
  <c r="I26" i="13"/>
  <c r="I31" i="13"/>
  <c r="I32" i="13"/>
  <c r="K81" i="13" l="1"/>
  <c r="H13" i="1"/>
  <c r="C13" i="1"/>
  <c r="L1" i="13"/>
  <c r="G10" i="13" s="1"/>
  <c r="K1" i="13"/>
  <c r="C51" i="1"/>
  <c r="C83" i="13" l="1" a="1"/>
  <c r="C83" i="13" s="1"/>
  <c r="C49" i="1" s="1"/>
  <c r="C85" i="13"/>
  <c r="A16" i="13"/>
  <c r="F6" i="1"/>
  <c r="A10" i="13" s="1"/>
  <c r="F5" i="1"/>
  <c r="A9" i="13" s="1"/>
  <c r="F20" i="1"/>
  <c r="F19" i="1"/>
  <c r="H19" i="1" s="1"/>
  <c r="I25" i="13"/>
  <c r="I30" i="13"/>
  <c r="F18" i="1" l="1"/>
  <c r="F16" i="1"/>
  <c r="F21" i="1"/>
  <c r="F17" i="1"/>
  <c r="I27" i="13"/>
  <c r="C81" i="13"/>
  <c r="C47" i="1" l="1"/>
  <c r="J2" i="1"/>
  <c r="G1" i="1" s="1"/>
  <c r="F11" i="1"/>
  <c r="A15" i="13" s="1"/>
  <c r="B6" i="3"/>
  <c r="B7" i="3"/>
  <c r="B9" i="3"/>
  <c r="B10" i="3"/>
  <c r="B8"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G32" i="3"/>
  <c r="H32" i="3"/>
  <c r="I32" i="3"/>
  <c r="G33" i="3"/>
  <c r="H33" i="3"/>
  <c r="I33" i="3"/>
  <c r="G34" i="3"/>
  <c r="H34" i="3"/>
  <c r="I34" i="3"/>
  <c r="G35" i="3"/>
  <c r="H35" i="3"/>
  <c r="I35" i="3"/>
  <c r="G36" i="3"/>
  <c r="H36" i="3"/>
  <c r="I36" i="3"/>
  <c r="G37" i="3"/>
  <c r="H37" i="3"/>
  <c r="I37" i="3"/>
  <c r="G38" i="3"/>
  <c r="H38" i="3"/>
  <c r="I38" i="3"/>
  <c r="G39" i="3"/>
  <c r="H39" i="3"/>
  <c r="I39" i="3"/>
  <c r="G40" i="3"/>
  <c r="H40" i="3"/>
  <c r="I40" i="3"/>
  <c r="G41" i="3"/>
  <c r="H41" i="3"/>
  <c r="I41" i="3"/>
  <c r="G42" i="3"/>
  <c r="H42" i="3"/>
  <c r="I42" i="3"/>
  <c r="G43" i="3"/>
  <c r="H43" i="3"/>
  <c r="I43" i="3"/>
  <c r="G44" i="3"/>
  <c r="H44" i="3"/>
  <c r="I44" i="3"/>
  <c r="G45" i="3"/>
  <c r="H45" i="3"/>
  <c r="I45" i="3"/>
  <c r="G46" i="3"/>
  <c r="H46" i="3"/>
  <c r="I46" i="3"/>
  <c r="G47" i="3"/>
  <c r="H47" i="3"/>
  <c r="I47" i="3"/>
  <c r="G48" i="3"/>
  <c r="H48" i="3"/>
  <c r="I48" i="3"/>
  <c r="G49" i="3"/>
  <c r="H49" i="3"/>
  <c r="I49" i="3"/>
  <c r="G50" i="3"/>
  <c r="H50" i="3"/>
  <c r="I50" i="3"/>
  <c r="G51" i="3"/>
  <c r="H51" i="3"/>
  <c r="I51" i="3"/>
  <c r="G52" i="3"/>
  <c r="H52" i="3"/>
  <c r="I52" i="3"/>
  <c r="G53" i="3"/>
  <c r="H53" i="3"/>
  <c r="I53" i="3"/>
  <c r="G54" i="3"/>
  <c r="H54" i="3"/>
  <c r="I54" i="3"/>
  <c r="G55" i="3"/>
  <c r="H55" i="3"/>
  <c r="I55" i="3"/>
  <c r="G56" i="3"/>
  <c r="H56" i="3"/>
  <c r="I56" i="3"/>
  <c r="G57" i="3"/>
  <c r="H57" i="3"/>
  <c r="I57" i="3"/>
  <c r="G58" i="3"/>
  <c r="H58" i="3"/>
  <c r="I58" i="3"/>
  <c r="G59" i="3"/>
  <c r="H59" i="3"/>
  <c r="I59" i="3"/>
  <c r="G60" i="3"/>
  <c r="H60" i="3"/>
  <c r="I60" i="3"/>
  <c r="G61" i="3"/>
  <c r="H61" i="3"/>
  <c r="I61" i="3"/>
  <c r="G17" i="3"/>
  <c r="H17" i="3"/>
  <c r="I17" i="3"/>
  <c r="G18" i="3"/>
  <c r="H18" i="3"/>
  <c r="I18" i="3"/>
  <c r="G19" i="3"/>
  <c r="H19" i="3"/>
  <c r="I19" i="3"/>
  <c r="G20" i="3"/>
  <c r="H20" i="3"/>
  <c r="I20" i="3"/>
  <c r="G21" i="3"/>
  <c r="H21" i="3"/>
  <c r="I21" i="3"/>
  <c r="G22" i="3"/>
  <c r="H22" i="3"/>
  <c r="I22" i="3"/>
  <c r="G23" i="3"/>
  <c r="H23" i="3"/>
  <c r="I23" i="3"/>
  <c r="G24" i="3"/>
  <c r="H24" i="3"/>
  <c r="I24" i="3"/>
  <c r="G25" i="3"/>
  <c r="H25" i="3"/>
  <c r="I25" i="3"/>
  <c r="G26" i="3"/>
  <c r="H26" i="3"/>
  <c r="I26" i="3"/>
  <c r="G27" i="3"/>
  <c r="H27" i="3"/>
  <c r="I27" i="3"/>
  <c r="G28" i="3"/>
  <c r="H28" i="3"/>
  <c r="I28" i="3"/>
  <c r="G29" i="3"/>
  <c r="H29" i="3"/>
  <c r="I29" i="3"/>
  <c r="G30" i="3"/>
  <c r="H30" i="3"/>
  <c r="I30" i="3"/>
  <c r="G31" i="3"/>
  <c r="H31" i="3"/>
  <c r="I31" i="3"/>
  <c r="F7" i="1"/>
  <c r="A11" i="13" s="1"/>
  <c r="F10" i="1"/>
  <c r="A14" i="13" s="1"/>
  <c r="F9" i="1"/>
  <c r="A13" i="13" s="1"/>
  <c r="F8" i="1"/>
  <c r="A12" i="13" s="1"/>
  <c r="F43" i="1"/>
  <c r="A1" i="1"/>
  <c r="K1" i="1"/>
  <c r="D17" i="1" l="1"/>
  <c r="H17" i="1" s="1"/>
  <c r="D20" i="1"/>
  <c r="H20" i="1" s="1"/>
  <c r="D18" i="1"/>
  <c r="H18" i="1" s="1"/>
  <c r="M36" i="13"/>
  <c r="M38" i="13"/>
  <c r="M40" i="13"/>
  <c r="M42" i="13"/>
  <c r="M44" i="13"/>
  <c r="M46" i="13"/>
  <c r="M48" i="13"/>
  <c r="M50" i="13"/>
  <c r="M52" i="13"/>
  <c r="M54" i="13"/>
  <c r="M56" i="13"/>
  <c r="M58" i="13"/>
  <c r="M60" i="13"/>
  <c r="M62" i="13"/>
  <c r="M64" i="13"/>
  <c r="M66" i="13"/>
  <c r="M68" i="13"/>
  <c r="M70" i="13"/>
  <c r="M72" i="13"/>
  <c r="M74" i="13"/>
  <c r="M76" i="13"/>
  <c r="M78" i="13"/>
  <c r="M33" i="13"/>
  <c r="N36" i="13"/>
  <c r="N42" i="13"/>
  <c r="N54" i="13"/>
  <c r="N62" i="13"/>
  <c r="N68" i="13"/>
  <c r="N74" i="13"/>
  <c r="N19" i="13"/>
  <c r="I19" i="13" s="1"/>
  <c r="N25" i="13"/>
  <c r="M35" i="13"/>
  <c r="M37" i="13"/>
  <c r="M39" i="13"/>
  <c r="M41" i="13"/>
  <c r="M43" i="13"/>
  <c r="M45" i="13"/>
  <c r="M47" i="13"/>
  <c r="M49" i="13"/>
  <c r="M51" i="13"/>
  <c r="M53" i="13"/>
  <c r="M55" i="13"/>
  <c r="M57" i="13"/>
  <c r="M59" i="13"/>
  <c r="M61" i="13"/>
  <c r="M63" i="13"/>
  <c r="M65" i="13"/>
  <c r="M67" i="13"/>
  <c r="M69" i="13"/>
  <c r="M71" i="13"/>
  <c r="M73" i="13"/>
  <c r="M75" i="13"/>
  <c r="M77" i="13"/>
  <c r="M79" i="13"/>
  <c r="M32" i="13"/>
  <c r="N34" i="13"/>
  <c r="N38" i="13"/>
  <c r="N46" i="13"/>
  <c r="N50" i="13"/>
  <c r="N56" i="13"/>
  <c r="N60" i="13"/>
  <c r="N66" i="13"/>
  <c r="N72" i="13"/>
  <c r="N78" i="13"/>
  <c r="N23" i="13"/>
  <c r="I23" i="13" s="1"/>
  <c r="N29" i="13"/>
  <c r="I29" i="13" s="1"/>
  <c r="N33" i="13"/>
  <c r="N35" i="13"/>
  <c r="N37" i="13"/>
  <c r="N39" i="13"/>
  <c r="N41" i="13"/>
  <c r="N43" i="13"/>
  <c r="N45" i="13"/>
  <c r="N47" i="13"/>
  <c r="N49" i="13"/>
  <c r="N51" i="13"/>
  <c r="N53" i="13"/>
  <c r="N55" i="13"/>
  <c r="N57" i="13"/>
  <c r="N59" i="13"/>
  <c r="N61" i="13"/>
  <c r="N63" i="13"/>
  <c r="N65" i="13"/>
  <c r="N67" i="13"/>
  <c r="N69" i="13"/>
  <c r="N71" i="13"/>
  <c r="N73" i="13"/>
  <c r="N75" i="13"/>
  <c r="N77" i="13"/>
  <c r="N79" i="13"/>
  <c r="N20" i="13"/>
  <c r="I20" i="13" s="1"/>
  <c r="N22" i="13"/>
  <c r="I22" i="13" s="1"/>
  <c r="N24" i="13"/>
  <c r="I24" i="13" s="1"/>
  <c r="N26" i="13"/>
  <c r="N28" i="13"/>
  <c r="I28" i="13" s="1"/>
  <c r="N30" i="13"/>
  <c r="N32" i="13"/>
  <c r="M34" i="13"/>
  <c r="N40" i="13"/>
  <c r="N44" i="13"/>
  <c r="N48" i="13"/>
  <c r="N52" i="13"/>
  <c r="N58" i="13"/>
  <c r="N64" i="13"/>
  <c r="N70" i="13"/>
  <c r="N76" i="13"/>
  <c r="N21" i="13"/>
  <c r="I21" i="13" s="1"/>
  <c r="N27" i="13"/>
  <c r="N31" i="13"/>
  <c r="D16" i="1"/>
  <c r="H16" i="1" s="1"/>
  <c r="G4" i="13"/>
  <c r="D21" i="1" l="1"/>
  <c r="H21" i="1" s="1"/>
  <c r="H43" i="1" s="1"/>
  <c r="N81" i="13"/>
  <c r="C82" i="13" s="1"/>
  <c r="C48" i="1" s="1"/>
  <c r="I16" i="3"/>
  <c r="H16" i="3"/>
  <c r="G16" i="3"/>
  <c r="I15" i="3"/>
  <c r="H15" i="3"/>
  <c r="G15" i="3"/>
  <c r="I14" i="3"/>
  <c r="H14" i="3"/>
  <c r="G14" i="3"/>
  <c r="I13" i="3"/>
  <c r="H13" i="3"/>
  <c r="G13" i="3"/>
  <c r="I12" i="3"/>
  <c r="H12" i="3"/>
  <c r="G12" i="3"/>
  <c r="I11" i="3"/>
  <c r="H11" i="3"/>
  <c r="G11" i="3"/>
  <c r="G5" i="3"/>
  <c r="I5" i="3" s="1"/>
  <c r="G8" i="3"/>
  <c r="H8" i="3" s="1"/>
  <c r="G10" i="3"/>
  <c r="H10" i="3" s="1"/>
  <c r="G9" i="3"/>
  <c r="I9" i="3" s="1"/>
  <c r="G7" i="3"/>
  <c r="H7" i="3" s="1"/>
  <c r="G6" i="3"/>
  <c r="H6" i="3" s="1"/>
  <c r="R14" i="6"/>
  <c r="J1" i="1"/>
  <c r="K2" i="1" l="1"/>
  <c r="G8" i="13" s="1"/>
  <c r="D22" i="1"/>
  <c r="M26" i="13"/>
  <c r="M25" i="13"/>
  <c r="M20" i="13"/>
  <c r="M28" i="13"/>
  <c r="M19" i="13"/>
  <c r="M27" i="13"/>
  <c r="M22" i="13"/>
  <c r="M30" i="13"/>
  <c r="M21" i="13"/>
  <c r="M29" i="13"/>
  <c r="M23" i="13"/>
  <c r="M31" i="13"/>
  <c r="M24" i="13"/>
  <c r="H5" i="3"/>
  <c r="I8" i="3"/>
  <c r="I10" i="3"/>
  <c r="H9" i="3"/>
  <c r="I6" i="3"/>
  <c r="I7" i="3"/>
  <c r="N1" i="13" l="1"/>
  <c r="O1" i="13"/>
  <c r="M1" i="13"/>
  <c r="D23" i="1"/>
  <c r="M81" i="13"/>
  <c r="C84" i="13"/>
  <c r="C50" i="1" s="1"/>
  <c r="E15" i="2"/>
  <c r="F15" i="2" s="1"/>
  <c r="G6" i="13" l="1"/>
  <c r="D24" i="1"/>
  <c r="E18" i="2"/>
  <c r="F18" i="2" s="1"/>
  <c r="P34" i="3"/>
  <c r="T34" i="3" s="1"/>
  <c r="P36" i="3"/>
  <c r="T36" i="3" s="1"/>
  <c r="P44" i="3"/>
  <c r="T44" i="3" s="1"/>
  <c r="P42" i="3"/>
  <c r="T42" i="3" s="1"/>
  <c r="P40" i="3"/>
  <c r="T40" i="3" s="1"/>
  <c r="P49" i="3"/>
  <c r="T49" i="3" s="1"/>
  <c r="P54" i="3"/>
  <c r="T54" i="3" s="1"/>
  <c r="P47" i="3"/>
  <c r="T47" i="3" s="1"/>
  <c r="P48" i="3"/>
  <c r="T48" i="3" s="1"/>
  <c r="P55" i="3"/>
  <c r="T55" i="3" s="1"/>
  <c r="P43" i="3"/>
  <c r="T43" i="3" s="1"/>
  <c r="P52" i="3"/>
  <c r="T52" i="3" s="1"/>
  <c r="P57" i="3"/>
  <c r="R57" i="3" s="1"/>
  <c r="P58" i="3"/>
  <c r="R58" i="3" s="1"/>
  <c r="P50" i="3"/>
  <c r="T50" i="3" s="1"/>
  <c r="P53" i="3"/>
  <c r="T53" i="3" s="1"/>
  <c r="P62" i="3"/>
  <c r="T62" i="3" s="1"/>
  <c r="P51" i="3"/>
  <c r="T51" i="3" s="1"/>
  <c r="P56" i="3"/>
  <c r="T56" i="3" s="1"/>
  <c r="P59" i="3"/>
  <c r="T59" i="3" s="1"/>
  <c r="P63" i="3"/>
  <c r="T63" i="3" s="1"/>
  <c r="P60" i="3"/>
  <c r="T60" i="3" s="1"/>
  <c r="P61" i="3"/>
  <c r="T61" i="3" s="1"/>
  <c r="P64" i="3"/>
  <c r="T64" i="3" s="1"/>
  <c r="P66" i="3"/>
  <c r="R66" i="3" s="1"/>
  <c r="P65" i="3"/>
  <c r="R65" i="3" s="1"/>
  <c r="P69" i="3"/>
  <c r="T69" i="3" s="1"/>
  <c r="P67" i="3"/>
  <c r="T67" i="3" s="1"/>
  <c r="P68" i="3"/>
  <c r="T68" i="3" s="1"/>
  <c r="P70" i="3"/>
  <c r="T70" i="3" s="1"/>
  <c r="P4" i="3"/>
  <c r="T4" i="3" s="1"/>
  <c r="P5" i="3"/>
  <c r="T5" i="3" s="1"/>
  <c r="P6" i="3"/>
  <c r="T6" i="3" s="1"/>
  <c r="P11" i="3"/>
  <c r="T11" i="3" s="1"/>
  <c r="P8" i="3"/>
  <c r="T8" i="3" s="1"/>
  <c r="P10" i="3"/>
  <c r="T10" i="3" s="1"/>
  <c r="P7" i="3"/>
  <c r="T7" i="3" s="1"/>
  <c r="P13" i="3"/>
  <c r="T13" i="3" s="1"/>
  <c r="P24" i="3"/>
  <c r="T24" i="3" s="1"/>
  <c r="P14" i="3"/>
  <c r="T14" i="3" s="1"/>
  <c r="P17" i="3"/>
  <c r="T17" i="3" s="1"/>
  <c r="P20" i="3"/>
  <c r="T20" i="3" s="1"/>
  <c r="P19" i="3"/>
  <c r="T19" i="3" s="1"/>
  <c r="P33" i="3"/>
  <c r="T33" i="3" s="1"/>
  <c r="P26" i="3"/>
  <c r="T26" i="3" s="1"/>
  <c r="P9" i="3"/>
  <c r="T9" i="3" s="1"/>
  <c r="P15" i="3"/>
  <c r="T15" i="3" s="1"/>
  <c r="P25" i="3"/>
  <c r="T25" i="3" s="1"/>
  <c r="P28" i="3"/>
  <c r="T28" i="3" s="1"/>
  <c r="P16" i="3"/>
  <c r="T16" i="3" s="1"/>
  <c r="P22" i="3"/>
  <c r="T22" i="3" s="1"/>
  <c r="P12" i="3"/>
  <c r="T12" i="3" s="1"/>
  <c r="P27" i="3"/>
  <c r="T27" i="3" s="1"/>
  <c r="P29" i="3"/>
  <c r="T29" i="3" s="1"/>
  <c r="P21" i="3"/>
  <c r="T21" i="3" s="1"/>
  <c r="P18" i="3"/>
  <c r="T18" i="3" s="1"/>
  <c r="P32" i="3"/>
  <c r="T32" i="3" s="1"/>
  <c r="P35" i="3"/>
  <c r="T35" i="3" s="1"/>
  <c r="P41" i="3"/>
  <c r="T41" i="3" s="1"/>
  <c r="P23" i="3"/>
  <c r="T23" i="3" s="1"/>
  <c r="P38" i="3"/>
  <c r="T38" i="3" s="1"/>
  <c r="P30" i="3"/>
  <c r="T30" i="3" s="1"/>
  <c r="P31" i="3"/>
  <c r="T31" i="3" s="1"/>
  <c r="P39" i="3"/>
  <c r="T39" i="3" s="1"/>
  <c r="P37" i="3"/>
  <c r="T37" i="3" s="1"/>
  <c r="P45" i="3"/>
  <c r="T45" i="3" s="1"/>
  <c r="P46" i="3"/>
  <c r="T46" i="3" s="1"/>
  <c r="Q45" i="3"/>
  <c r="Q37" i="3"/>
  <c r="Q39" i="3"/>
  <c r="Q31" i="3"/>
  <c r="Q30" i="3"/>
  <c r="Q38" i="3"/>
  <c r="Q23" i="3"/>
  <c r="Q41" i="3"/>
  <c r="Q35" i="3"/>
  <c r="Q32" i="3"/>
  <c r="Q18" i="3"/>
  <c r="Q21" i="3"/>
  <c r="Q29" i="3"/>
  <c r="Q27" i="3"/>
  <c r="Q12" i="3"/>
  <c r="Q22" i="3"/>
  <c r="Q16" i="3"/>
  <c r="Q28" i="3"/>
  <c r="Q25" i="3"/>
  <c r="Q15" i="3"/>
  <c r="Q9" i="3"/>
  <c r="Q26" i="3"/>
  <c r="Q33" i="3"/>
  <c r="Q19" i="3"/>
  <c r="Q20" i="3"/>
  <c r="Q17" i="3"/>
  <c r="Q14" i="3"/>
  <c r="Q24" i="3"/>
  <c r="Q13" i="3"/>
  <c r="Q7" i="3"/>
  <c r="Q10" i="3"/>
  <c r="Q8" i="3"/>
  <c r="Q11" i="3"/>
  <c r="Q6" i="3"/>
  <c r="Q5" i="3"/>
  <c r="Q4" i="3"/>
  <c r="E11" i="2"/>
  <c r="F11" i="2" s="1"/>
  <c r="E12" i="2"/>
  <c r="F12" i="2" s="1"/>
  <c r="E13" i="2"/>
  <c r="F13" i="2" s="1"/>
  <c r="E14" i="2"/>
  <c r="F14" i="2" s="1"/>
  <c r="G15" i="2"/>
  <c r="E16" i="2"/>
  <c r="F16" i="2" s="1"/>
  <c r="E10" i="2"/>
  <c r="F10" i="2" s="1"/>
  <c r="D25" i="1" l="1"/>
  <c r="R32" i="3"/>
  <c r="R13" i="3"/>
  <c r="R36" i="3"/>
  <c r="R48" i="3"/>
  <c r="T65" i="3"/>
  <c r="R9" i="3"/>
  <c r="R56" i="3"/>
  <c r="R17" i="3"/>
  <c r="R60" i="3"/>
  <c r="R40" i="3"/>
  <c r="R24" i="3"/>
  <c r="R68" i="3"/>
  <c r="R44" i="3"/>
  <c r="R28" i="3"/>
  <c r="R5" i="3"/>
  <c r="R64" i="3"/>
  <c r="R52" i="3"/>
  <c r="T66" i="3"/>
  <c r="T57" i="3"/>
  <c r="R18" i="3"/>
  <c r="R14" i="3"/>
  <c r="R10" i="3"/>
  <c r="R6" i="3"/>
  <c r="R69" i="3"/>
  <c r="R61" i="3"/>
  <c r="R53" i="3"/>
  <c r="R49" i="3"/>
  <c r="R45" i="3"/>
  <c r="R41" i="3"/>
  <c r="R37" i="3"/>
  <c r="R33" i="3"/>
  <c r="R29" i="3"/>
  <c r="R25" i="3"/>
  <c r="R21" i="3"/>
  <c r="T58" i="3"/>
  <c r="R19" i="3"/>
  <c r="R15" i="3"/>
  <c r="R11" i="3"/>
  <c r="R7" i="3"/>
  <c r="R70" i="3"/>
  <c r="R62" i="3"/>
  <c r="R54" i="3"/>
  <c r="R50" i="3"/>
  <c r="R46" i="3"/>
  <c r="R42" i="3"/>
  <c r="R38" i="3"/>
  <c r="R34" i="3"/>
  <c r="R30" i="3"/>
  <c r="R26" i="3"/>
  <c r="R22" i="3"/>
  <c r="R4" i="3"/>
  <c r="R16" i="3"/>
  <c r="R12" i="3"/>
  <c r="R8" i="3"/>
  <c r="R20" i="3"/>
  <c r="R67" i="3"/>
  <c r="R63" i="3"/>
  <c r="R59" i="3"/>
  <c r="R55" i="3"/>
  <c r="R51" i="3"/>
  <c r="R47" i="3"/>
  <c r="R43" i="3"/>
  <c r="R39" i="3"/>
  <c r="R35" i="3"/>
  <c r="R31" i="3"/>
  <c r="R27" i="3"/>
  <c r="R23" i="3"/>
  <c r="G18" i="2"/>
  <c r="G13" i="2"/>
  <c r="G14" i="2"/>
  <c r="G16" i="2"/>
  <c r="G12" i="2"/>
  <c r="G11" i="2"/>
  <c r="G10" i="2"/>
  <c r="Q34" i="3"/>
  <c r="Q36" i="3"/>
  <c r="Q44" i="3"/>
  <c r="Q42" i="3"/>
  <c r="Q40" i="3"/>
  <c r="Q49" i="3"/>
  <c r="Q54" i="3"/>
  <c r="Q47" i="3"/>
  <c r="Q48" i="3"/>
  <c r="Q55" i="3"/>
  <c r="Q43" i="3"/>
  <c r="Q52" i="3"/>
  <c r="Q57" i="3"/>
  <c r="Q58" i="3"/>
  <c r="Q50" i="3"/>
  <c r="Q53" i="3"/>
  <c r="Q62" i="3"/>
  <c r="Q51" i="3"/>
  <c r="Q56" i="3"/>
  <c r="Q59" i="3"/>
  <c r="Q63" i="3"/>
  <c r="Q60" i="3"/>
  <c r="Q61" i="3"/>
  <c r="Q64" i="3"/>
  <c r="Q66" i="3"/>
  <c r="Q65" i="3"/>
  <c r="Q69" i="3"/>
  <c r="Q67" i="3"/>
  <c r="Q68" i="3"/>
  <c r="Q70" i="3"/>
  <c r="Q46" i="3"/>
  <c r="J7" i="6"/>
  <c r="J8" i="6"/>
  <c r="J9" i="6"/>
  <c r="J10" i="6"/>
  <c r="J11" i="6"/>
  <c r="J12" i="6"/>
  <c r="J13" i="6"/>
  <c r="J14" i="6"/>
  <c r="J15" i="6"/>
  <c r="J16" i="6"/>
  <c r="J17" i="6"/>
  <c r="J18" i="6"/>
  <c r="J19" i="6"/>
  <c r="J20" i="6"/>
  <c r="J21" i="6"/>
  <c r="J22" i="6"/>
  <c r="J23" i="6"/>
  <c r="J24" i="6"/>
  <c r="J25" i="6"/>
  <c r="J26" i="6"/>
  <c r="J27" i="6"/>
  <c r="J28" i="6"/>
  <c r="J29" i="6"/>
  <c r="J30" i="6"/>
  <c r="J31" i="6"/>
  <c r="J32" i="6"/>
  <c r="J33" i="6"/>
  <c r="J34" i="6"/>
  <c r="J35" i="6"/>
  <c r="J36" i="6"/>
  <c r="J37" i="6"/>
  <c r="J38" i="6"/>
  <c r="J39" i="6"/>
  <c r="J6" i="6"/>
  <c r="F5" i="2"/>
  <c r="G5" i="2" s="1"/>
  <c r="J5" i="2"/>
  <c r="C5" i="2"/>
  <c r="D26" i="1" l="1"/>
  <c r="J45" i="1" l="1"/>
  <c r="D27" i="1"/>
  <c r="D28" i="1" l="1"/>
  <c r="J43" i="1"/>
  <c r="D34" i="1" l="1"/>
  <c r="D29" i="1"/>
  <c r="B45" i="1"/>
  <c r="D30" i="1" l="1"/>
  <c r="D31" i="1" l="1"/>
  <c r="D32" i="1" l="1"/>
  <c r="D35" i="1" l="1"/>
  <c r="D33" i="1"/>
  <c r="D36" i="1" l="1"/>
  <c r="D37" i="1" l="1"/>
  <c r="D38" i="1" l="1"/>
  <c r="D39" i="1" l="1"/>
  <c r="D40" i="1" l="1"/>
  <c r="D42" i="1" l="1"/>
  <c r="D4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Christophe</author>
  </authors>
  <commentList>
    <comment ref="F2" authorId="0" shapeId="0" xr:uid="{00000000-0006-0000-0400-000001000000}">
      <text>
        <r>
          <rPr>
            <b/>
            <sz val="9"/>
            <color indexed="81"/>
            <rFont val="Tahoma"/>
            <family val="2"/>
          </rPr>
          <t xml:space="preserve">MIN = Minereaux
SPI = Epice
ART = Artisanat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Christophe</author>
  </authors>
  <commentList>
    <comment ref="K3" authorId="0" shapeId="0" xr:uid="{00000000-0006-0000-0900-000001000000}">
      <text>
        <r>
          <rPr>
            <b/>
            <sz val="9"/>
            <color indexed="81"/>
            <rFont val="Tahoma"/>
            <family val="2"/>
          </rPr>
          <t>Choisir dans la liste déroulante :
Le TITRE du document</t>
        </r>
      </text>
    </comment>
    <comment ref="K4" authorId="0" shapeId="0" xr:uid="{00000000-0006-0000-0900-000002000000}">
      <text>
        <r>
          <rPr>
            <b/>
            <sz val="9"/>
            <color indexed="81"/>
            <rFont val="Tahoma"/>
            <family val="2"/>
          </rPr>
          <t>Choisir dans la liste déroulante : 
Le CLIENT final
Choisir dans l'onglet Clients</t>
        </r>
        <r>
          <rPr>
            <sz val="9"/>
            <color indexed="81"/>
            <rFont val="Tahoma"/>
            <family val="2"/>
          </rPr>
          <t xml:space="preserve">
</t>
        </r>
      </text>
    </comment>
    <comment ref="K5" authorId="0" shapeId="0" xr:uid="{00000000-0006-0000-0900-000003000000}">
      <text>
        <r>
          <rPr>
            <b/>
            <sz val="9"/>
            <color indexed="81"/>
            <rFont val="Tahoma"/>
            <family val="2"/>
          </rPr>
          <t>Choisir dans la liste déroulante : 
La DEVISE de paiement</t>
        </r>
        <r>
          <rPr>
            <sz val="9"/>
            <color indexed="81"/>
            <rFont val="Tahoma"/>
            <family val="2"/>
          </rPr>
          <t xml:space="preserve">
</t>
        </r>
      </text>
    </comment>
    <comment ref="K6" authorId="0" shapeId="0" xr:uid="{00000000-0006-0000-0900-000004000000}">
      <text>
        <r>
          <rPr>
            <b/>
            <sz val="9"/>
            <color indexed="81"/>
            <rFont val="Tahoma"/>
            <family val="2"/>
          </rPr>
          <t>Choisir dans la liste déroulante :
L'INCOTERM choisi</t>
        </r>
      </text>
    </comment>
    <comment ref="K7" authorId="0" shapeId="0" xr:uid="{00000000-0006-0000-0900-000005000000}">
      <text>
        <r>
          <rPr>
            <b/>
            <sz val="9"/>
            <color indexed="81"/>
            <rFont val="Tahoma"/>
            <family val="2"/>
          </rPr>
          <t>Inscrire le N° de Cde 
Si pas de N° mettre le NOM du Cient</t>
        </r>
        <r>
          <rPr>
            <sz val="9"/>
            <color indexed="81"/>
            <rFont val="Tahoma"/>
            <family val="2"/>
          </rPr>
          <t xml:space="preserve">
</t>
        </r>
      </text>
    </comment>
    <comment ref="B45" authorId="0" shapeId="0" xr:uid="{00000000-0006-0000-0900-000006000000}">
      <text>
        <r>
          <rPr>
            <b/>
            <sz val="18"/>
            <color indexed="81"/>
            <rFont val="Arial"/>
            <family val="2"/>
          </rPr>
          <t>SI CHANGEMENT DEVISE</t>
        </r>
        <r>
          <rPr>
            <b/>
            <sz val="9"/>
            <color indexed="81"/>
            <rFont val="Tahoma"/>
            <family val="2"/>
          </rPr>
          <t xml:space="preserve">
</t>
        </r>
        <r>
          <rPr>
            <b/>
            <sz val="10"/>
            <color indexed="81"/>
            <rFont val="Arial"/>
            <family val="2"/>
          </rPr>
          <t xml:space="preserve">
Allez dans "Formules" dans la barre des tâches 
- Cliquer "Fonction" dans Morefunc
- Cliquer sur "Texte"
- Cliquer "NBTEXT"
Suivez les indications
- Nombre = cliquer sur la case du Total
- Langue = Suivez les propositions (Anglais=2)
- Type = 1
- Unité 1 (singulier) = Ex: US Dollar and / Euro et
- Unité 1 (pluriel) = Ex: US Dollars and / Euros et
- Unité 2 (singulier) = Ex: Cent
- Unité 2 (pluriel) = Ex: Cents
- Style = 0
- Genre 1 = 
- Genre 2 =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Christophe</author>
  </authors>
  <commentList>
    <comment ref="G4" authorId="0" shapeId="0" xr:uid="{00000000-0006-0000-0A00-000001000000}">
      <text>
        <r>
          <rPr>
            <b/>
            <sz val="12"/>
            <color indexed="81"/>
            <rFont val="Tahoma"/>
            <family val="2"/>
          </rPr>
          <t>Lien Facture</t>
        </r>
        <r>
          <rPr>
            <sz val="9"/>
            <color indexed="81"/>
            <rFont val="Tahoma"/>
            <family val="2"/>
          </rPr>
          <t xml:space="preserve">
</t>
        </r>
      </text>
    </comment>
    <comment ref="G6" authorId="0" shapeId="0" xr:uid="{00000000-0006-0000-0A00-000002000000}">
      <text>
        <r>
          <rPr>
            <b/>
            <sz val="9"/>
            <color indexed="81"/>
            <rFont val="Tahoma"/>
            <family val="2"/>
          </rPr>
          <t>Reprise du N° de facture en précisant "PL" pour Packing List</t>
        </r>
        <r>
          <rPr>
            <sz val="9"/>
            <color indexed="81"/>
            <rFont val="Tahoma"/>
            <family val="2"/>
          </rPr>
          <t xml:space="preserve">
</t>
        </r>
        <r>
          <rPr>
            <b/>
            <sz val="12"/>
            <color indexed="81"/>
            <rFont val="Tahoma"/>
            <family val="2"/>
          </rPr>
          <t>Lien Facture</t>
        </r>
      </text>
    </comment>
    <comment ref="G8" authorId="0" shapeId="0" xr:uid="{00000000-0006-0000-0A00-000003000000}">
      <text>
        <r>
          <rPr>
            <b/>
            <sz val="9"/>
            <color indexed="81"/>
            <rFont val="Tahoma"/>
            <family val="2"/>
          </rPr>
          <t>Reprise du n° de facture pour information.
Il n'y a une Packin List que pour une Commercial Invoice</t>
        </r>
        <r>
          <rPr>
            <sz val="9"/>
            <color indexed="81"/>
            <rFont val="Tahoma"/>
            <family val="2"/>
          </rPr>
          <t xml:space="preserve">
</t>
        </r>
        <r>
          <rPr>
            <b/>
            <sz val="12"/>
            <color indexed="81"/>
            <rFont val="Tahoma"/>
            <family val="2"/>
          </rPr>
          <t>Lien Facture</t>
        </r>
      </text>
    </comment>
    <comment ref="G10" authorId="0" shapeId="0" xr:uid="{00000000-0006-0000-0A00-000004000000}">
      <text>
        <r>
          <rPr>
            <b/>
            <sz val="12"/>
            <color indexed="81"/>
            <rFont val="Tahoma"/>
            <family val="2"/>
          </rPr>
          <t>Lien Facture</t>
        </r>
        <r>
          <rPr>
            <sz val="9"/>
            <color indexed="81"/>
            <rFont val="Tahoma"/>
            <family val="2"/>
          </rPr>
          <t xml:space="preserve">
</t>
        </r>
      </text>
    </comment>
    <comment ref="G12" authorId="0" shapeId="0" xr:uid="{00000000-0006-0000-0A00-000005000000}">
      <text>
        <r>
          <rPr>
            <b/>
            <sz val="12"/>
            <color indexed="81"/>
            <rFont val="Tahoma"/>
            <family val="2"/>
          </rPr>
          <t>A Remplir</t>
        </r>
        <r>
          <rPr>
            <sz val="9"/>
            <color indexed="81"/>
            <rFont val="Tahoma"/>
            <family val="2"/>
          </rPr>
          <t xml:space="preserve">
</t>
        </r>
        <r>
          <rPr>
            <b/>
            <sz val="10"/>
            <color indexed="81"/>
            <rFont val="Tahoma"/>
            <family val="2"/>
          </rPr>
          <t>Suivant Liste déroulante</t>
        </r>
      </text>
    </comment>
    <comment ref="G14" authorId="0" shapeId="0" xr:uid="{00000000-0006-0000-0A00-000006000000}">
      <text>
        <r>
          <rPr>
            <b/>
            <sz val="12"/>
            <color indexed="81"/>
            <rFont val="Tahoma"/>
            <family val="2"/>
          </rPr>
          <t>A Remplir Suivant Exp.</t>
        </r>
        <r>
          <rPr>
            <sz val="9"/>
            <color indexed="81"/>
            <rFont val="Tahoma"/>
            <family val="2"/>
          </rPr>
          <t xml:space="preserve">
</t>
        </r>
      </text>
    </comment>
    <comment ref="G16" authorId="0" shapeId="0" xr:uid="{00000000-0006-0000-0A00-000007000000}">
      <text>
        <r>
          <rPr>
            <b/>
            <sz val="12"/>
            <color indexed="81"/>
            <rFont val="Tahoma"/>
            <family val="2"/>
          </rPr>
          <t>A Remplir Suivant Exp.</t>
        </r>
      </text>
    </comment>
    <comment ref="C83" authorId="0" shapeId="0" xr:uid="{00000000-0006-0000-0A00-000008000000}">
      <text>
        <r>
          <rPr>
            <b/>
            <sz val="18"/>
            <color indexed="81"/>
            <rFont val="Tahoma"/>
            <family val="2"/>
          </rPr>
          <t>Formule matricielle</t>
        </r>
        <r>
          <rPr>
            <b/>
            <sz val="9"/>
            <color indexed="81"/>
            <rFont val="Tahoma"/>
            <family val="2"/>
          </rPr>
          <t xml:space="preserve">
SOMMEPROD(SI(I16:I27&lt;&gt;"";1/NB.SI(I16:I27;I16:I27)))
Pour valider la formule Ctrl+Maj+Entre 
</t>
        </r>
        <r>
          <rPr>
            <b/>
            <sz val="11"/>
            <color indexed="81"/>
            <rFont val="Tahoma"/>
            <family val="2"/>
          </rPr>
          <t>Si Cellule en jaune c'est qu'il y a une  différence entre le nombre de carton sur la Packing List le nombre de choix de dimension des cartons</t>
        </r>
      </text>
    </comment>
  </commentList>
</comments>
</file>

<file path=xl/sharedStrings.xml><?xml version="1.0" encoding="utf-8"?>
<sst xmlns="http://schemas.openxmlformats.org/spreadsheetml/2006/main" count="1841" uniqueCount="690">
  <si>
    <t>FOB</t>
  </si>
  <si>
    <t>EUR - Euro</t>
  </si>
  <si>
    <t>MUR - Mauritian Rupee</t>
  </si>
  <si>
    <t>MGA - Malagasy Ariary</t>
  </si>
  <si>
    <t>CFR</t>
  </si>
  <si>
    <t>CIF</t>
  </si>
  <si>
    <t>Améthyste</t>
  </si>
  <si>
    <t>Apatite</t>
  </si>
  <si>
    <t>Aigue Marine</t>
  </si>
  <si>
    <t>Citrine</t>
  </si>
  <si>
    <t>Grenat</t>
  </si>
  <si>
    <t>Labradorite / Spectrolite</t>
  </si>
  <si>
    <t>Amethyst</t>
  </si>
  <si>
    <t>Aquamarine</t>
  </si>
  <si>
    <t>Garnet</t>
  </si>
  <si>
    <t>Cordierite / Iolite</t>
  </si>
  <si>
    <t>Gr</t>
  </si>
  <si>
    <t>Kg</t>
  </si>
  <si>
    <t>Ct</t>
  </si>
  <si>
    <t>01</t>
  </si>
  <si>
    <t>Description</t>
  </si>
  <si>
    <t>TC227</t>
  </si>
  <si>
    <t>TC 3.02</t>
  </si>
  <si>
    <t>7,60 €</t>
  </si>
  <si>
    <t>6,84 €</t>
  </si>
  <si>
    <t>6,47 €</t>
  </si>
  <si>
    <t>6,08 €</t>
  </si>
  <si>
    <t>TC226</t>
  </si>
  <si>
    <t>5,10 €</t>
  </si>
  <si>
    <t>4,60 €</t>
  </si>
  <si>
    <t>4,35 €</t>
  </si>
  <si>
    <t>4,09 €</t>
  </si>
  <si>
    <t>TC200</t>
  </si>
  <si>
    <t>6,29 €</t>
  </si>
  <si>
    <t>5,67 €</t>
  </si>
  <si>
    <t>5,36 €</t>
  </si>
  <si>
    <t>5,04 €</t>
  </si>
  <si>
    <t>TC228</t>
  </si>
  <si>
    <t>7,25 €</t>
  </si>
  <si>
    <t>6,52 €</t>
  </si>
  <si>
    <t>6,17 €</t>
  </si>
  <si>
    <t>5,80 €</t>
  </si>
  <si>
    <t>TC229</t>
  </si>
  <si>
    <t>6,89 €</t>
  </si>
  <si>
    <t>6,20 €</t>
  </si>
  <si>
    <t>5,85 €</t>
  </si>
  <si>
    <t>5,51 €</t>
  </si>
  <si>
    <t>TC202</t>
  </si>
  <si>
    <t>6,06 €</t>
  </si>
  <si>
    <t>5,46 €</t>
  </si>
  <si>
    <t>5,16 €</t>
  </si>
  <si>
    <t>4,85 €</t>
  </si>
  <si>
    <t>TC204</t>
  </si>
  <si>
    <t>7,29 €</t>
  </si>
  <si>
    <t>6,57 €</t>
  </si>
  <si>
    <t>5,83 €</t>
  </si>
  <si>
    <t>TC230</t>
  </si>
  <si>
    <t>11,76 €</t>
  </si>
  <si>
    <t>10,58 €</t>
  </si>
  <si>
    <t>10,00 €</t>
  </si>
  <si>
    <t>9,41 €</t>
  </si>
  <si>
    <t>TC206</t>
  </si>
  <si>
    <t>9,05 €</t>
  </si>
  <si>
    <t>8,15 €</t>
  </si>
  <si>
    <t>7,70 €</t>
  </si>
  <si>
    <t>TC231</t>
  </si>
  <si>
    <t>8,91 €</t>
  </si>
  <si>
    <t>8,02 €</t>
  </si>
  <si>
    <t>7,58 €</t>
  </si>
  <si>
    <t>7,13 €</t>
  </si>
  <si>
    <t>TC232</t>
  </si>
  <si>
    <t>12,77 €</t>
  </si>
  <si>
    <t>11,50 €</t>
  </si>
  <si>
    <t>10,86 €</t>
  </si>
  <si>
    <t>10,22 €</t>
  </si>
  <si>
    <t>TC208</t>
  </si>
  <si>
    <t>8,61 €</t>
  </si>
  <si>
    <t>7,76 €</t>
  </si>
  <si>
    <t>7,32 €</t>
  </si>
  <si>
    <t>TC210</t>
  </si>
  <si>
    <t>10,13 €</t>
  </si>
  <si>
    <t>9,12 €</t>
  </si>
  <si>
    <t>8,11 €</t>
  </si>
  <si>
    <t>TC212</t>
  </si>
  <si>
    <t>10,93 €</t>
  </si>
  <si>
    <t>9,83 €</t>
  </si>
  <si>
    <t>9,30 €</t>
  </si>
  <si>
    <t>8,75 €</t>
  </si>
  <si>
    <t>TC214</t>
  </si>
  <si>
    <t>15,32 €</t>
  </si>
  <si>
    <t>13,79 €</t>
  </si>
  <si>
    <t>13,04 €</t>
  </si>
  <si>
    <t>12,27 €</t>
  </si>
  <si>
    <t>TC216</t>
  </si>
  <si>
    <t>10,87 €</t>
  </si>
  <si>
    <t>9,79 €</t>
  </si>
  <si>
    <t>9,24 €</t>
  </si>
  <si>
    <t>8,70 €</t>
  </si>
  <si>
    <t>TC233</t>
  </si>
  <si>
    <t>12,89 €</t>
  </si>
  <si>
    <t>11,61 €</t>
  </si>
  <si>
    <t>10,96 €</t>
  </si>
  <si>
    <t>10,31 €</t>
  </si>
  <si>
    <t>TC218</t>
  </si>
  <si>
    <t>17,41 €</t>
  </si>
  <si>
    <t>15,68 €</t>
  </si>
  <si>
    <t>14,81 €</t>
  </si>
  <si>
    <t>13,94 €</t>
  </si>
  <si>
    <t>TC234</t>
  </si>
  <si>
    <t>11,04 €</t>
  </si>
  <si>
    <t>9,94 €</t>
  </si>
  <si>
    <t>9,39 €</t>
  </si>
  <si>
    <t>8,84 €</t>
  </si>
  <si>
    <t>TC235</t>
  </si>
  <si>
    <t>11,87 €</t>
  </si>
  <si>
    <t>10,68 €</t>
  </si>
  <si>
    <t>10,09 €</t>
  </si>
  <si>
    <t>9,49 €</t>
  </si>
  <si>
    <t>TC236</t>
  </si>
  <si>
    <t>17,77 €</t>
  </si>
  <si>
    <t>15,99 €</t>
  </si>
  <si>
    <t>15,10 €</t>
  </si>
  <si>
    <t>14,21 €</t>
  </si>
  <si>
    <t>TC237</t>
  </si>
  <si>
    <t>18,87 €</t>
  </si>
  <si>
    <t>16,97 €</t>
  </si>
  <si>
    <t>16,04 €</t>
  </si>
  <si>
    <t>15,09 €</t>
  </si>
  <si>
    <t>TC220</t>
  </si>
  <si>
    <t>14,01 €</t>
  </si>
  <si>
    <t>12,62 €</t>
  </si>
  <si>
    <t>11,91 €</t>
  </si>
  <si>
    <t>11,22 €</t>
  </si>
  <si>
    <t>TC238</t>
  </si>
  <si>
    <t>18,36 €</t>
  </si>
  <si>
    <t>16,52 €</t>
  </si>
  <si>
    <t>15,60 €</t>
  </si>
  <si>
    <t>14,69 €</t>
  </si>
  <si>
    <t>TC222</t>
  </si>
  <si>
    <t>18,90 €</t>
  </si>
  <si>
    <t>17,02 €</t>
  </si>
  <si>
    <t>16,06 €</t>
  </si>
  <si>
    <t>15,13 €</t>
  </si>
  <si>
    <t>TCC05</t>
  </si>
  <si>
    <t>25,89 €</t>
  </si>
  <si>
    <t>23,31 €</t>
  </si>
  <si>
    <t>22,01 €</t>
  </si>
  <si>
    <t>20,72 €</t>
  </si>
  <si>
    <t>TC239</t>
  </si>
  <si>
    <t>24,95 €</t>
  </si>
  <si>
    <t>22,45 €</t>
  </si>
  <si>
    <t>21,21 €</t>
  </si>
  <si>
    <t>19,95 €</t>
  </si>
  <si>
    <t>TCC09</t>
  </si>
  <si>
    <t>3.02</t>
  </si>
  <si>
    <t>33,69 €</t>
  </si>
  <si>
    <t>30,32 €</t>
  </si>
  <si>
    <t>28,64 €</t>
  </si>
  <si>
    <t>26,96 €</t>
  </si>
  <si>
    <t>TC240</t>
  </si>
  <si>
    <t>30,72 €</t>
  </si>
  <si>
    <t>27,64 €</t>
  </si>
  <si>
    <t>26,11 €</t>
  </si>
  <si>
    <t>24,59 €</t>
  </si>
  <si>
    <t>TC224</t>
  </si>
  <si>
    <t>27,06 €</t>
  </si>
  <si>
    <t>24,35 €</t>
  </si>
  <si>
    <t>23,00 €</t>
  </si>
  <si>
    <t>21,65 €</t>
  </si>
  <si>
    <t>TC241</t>
  </si>
  <si>
    <t>33,74 €</t>
  </si>
  <si>
    <t>30,36 €</t>
  </si>
  <si>
    <t>28,68 €</t>
  </si>
  <si>
    <t>26,99 €</t>
  </si>
  <si>
    <t>Référence</t>
  </si>
  <si>
    <t>Longueur (cm)</t>
  </si>
  <si>
    <t>Largeur (cm)</t>
  </si>
  <si>
    <t>Hauteur (cm)</t>
  </si>
  <si>
    <t>Quantité palette</t>
  </si>
  <si>
    <t>Qualité</t>
  </si>
  <si>
    <t>Colis de</t>
  </si>
  <si>
    <t>Prix HT</t>
  </si>
  <si>
    <t>-10%dès 300€ HT*</t>
  </si>
  <si>
    <t>-15%dès 450€ HT*</t>
  </si>
  <si>
    <t>-20%dès 800€ HT*</t>
  </si>
  <si>
    <t>m3</t>
  </si>
  <si>
    <t>Réf.</t>
  </si>
  <si>
    <t>cm</t>
  </si>
  <si>
    <t>hauteur</t>
  </si>
  <si>
    <t>colis</t>
  </si>
  <si>
    <t>de</t>
  </si>
  <si>
    <t>Prix € HT le colis Jusqu'à</t>
  </si>
  <si>
    <t>par 1 et +</t>
  </si>
  <si>
    <t>ouverture</t>
  </si>
  <si>
    <t>intérieure</t>
  </si>
  <si>
    <t>par 3 et +</t>
  </si>
  <si>
    <t>par 6 et +</t>
  </si>
  <si>
    <t>par 12 et +</t>
  </si>
  <si>
    <t>SX2</t>
  </si>
  <si>
    <t>SX3</t>
  </si>
  <si>
    <t>SX4</t>
  </si>
  <si>
    <t>SX7</t>
  </si>
  <si>
    <t>SX23</t>
  </si>
  <si>
    <t>SX5</t>
  </si>
  <si>
    <t>SX6</t>
  </si>
  <si>
    <t>SX9</t>
  </si>
  <si>
    <t>SX10</t>
  </si>
  <si>
    <t>SX11</t>
  </si>
  <si>
    <t>SX40</t>
  </si>
  <si>
    <t>SX12</t>
  </si>
  <si>
    <t>SX51</t>
  </si>
  <si>
    <t>SX13</t>
  </si>
  <si>
    <t>SX14</t>
  </si>
  <si>
    <t>SX15</t>
  </si>
  <si>
    <t>SX16</t>
  </si>
  <si>
    <t>SX17</t>
  </si>
  <si>
    <t>SX18</t>
  </si>
  <si>
    <t>SX20</t>
  </si>
  <si>
    <t>SX22</t>
  </si>
  <si>
    <t>SX25</t>
  </si>
  <si>
    <t>SX26</t>
  </si>
  <si>
    <t>SX28</t>
  </si>
  <si>
    <t>SX30</t>
  </si>
  <si>
    <t>SX35</t>
  </si>
  <si>
    <t>SX36</t>
  </si>
  <si>
    <t>SX50</t>
  </si>
  <si>
    <t>SX55</t>
  </si>
  <si>
    <t>SX56</t>
  </si>
  <si>
    <t>SX60</t>
  </si>
  <si>
    <t>SX66</t>
  </si>
  <si>
    <t>SX68</t>
  </si>
  <si>
    <t>SX90</t>
  </si>
  <si>
    <t xml:space="preserve">cm </t>
  </si>
  <si>
    <t>Sachet plastique 150 microns</t>
  </si>
  <si>
    <t>cm3</t>
  </si>
  <si>
    <t>Gr / cm3</t>
  </si>
  <si>
    <t>Cm3</t>
  </si>
  <si>
    <t>Iolite / Cordiérite</t>
  </si>
  <si>
    <t>Foisonnement</t>
  </si>
  <si>
    <t>DC300A</t>
  </si>
  <si>
    <t>DD30</t>
  </si>
  <si>
    <t>0,55 €</t>
  </si>
  <si>
    <t>0,50 €</t>
  </si>
  <si>
    <t>0,47 €</t>
  </si>
  <si>
    <t>0,44 €</t>
  </si>
  <si>
    <t>DC3B</t>
  </si>
  <si>
    <t>0,67 €</t>
  </si>
  <si>
    <t>0,61 €</t>
  </si>
  <si>
    <t>0,57 €</t>
  </si>
  <si>
    <t>0,54 €</t>
  </si>
  <si>
    <t>DC3A</t>
  </si>
  <si>
    <t>0,52 €</t>
  </si>
  <si>
    <t>0,48 €</t>
  </si>
  <si>
    <t>DC300</t>
  </si>
  <si>
    <t>0,73 €</t>
  </si>
  <si>
    <t>0,58 € soit -21%</t>
  </si>
  <si>
    <t>DC301</t>
  </si>
  <si>
    <t>0,66 €</t>
  </si>
  <si>
    <t>0,56 €</t>
  </si>
  <si>
    <t>0,53 €</t>
  </si>
  <si>
    <t>DC301B</t>
  </si>
  <si>
    <t>0,91 €</t>
  </si>
  <si>
    <t>0,81 €</t>
  </si>
  <si>
    <t>0,78 €</t>
  </si>
  <si>
    <t>DC301C</t>
  </si>
  <si>
    <t>1,05 €</t>
  </si>
  <si>
    <t>0,94 €</t>
  </si>
  <si>
    <t>0,89 €</t>
  </si>
  <si>
    <t>0,84 €</t>
  </si>
  <si>
    <t>DC301D</t>
  </si>
  <si>
    <t>1,16 €</t>
  </si>
  <si>
    <t>1,03 €</t>
  </si>
  <si>
    <t>0,98 €</t>
  </si>
  <si>
    <t>0,92 €</t>
  </si>
  <si>
    <t>DC302</t>
  </si>
  <si>
    <t>1,19 €</t>
  </si>
  <si>
    <t>1,07 €</t>
  </si>
  <si>
    <t>1,01 €</t>
  </si>
  <si>
    <t>0,95 €</t>
  </si>
  <si>
    <t>DC304</t>
  </si>
  <si>
    <t>DC305</t>
  </si>
  <si>
    <t>DC305A</t>
  </si>
  <si>
    <t>1,36 €</t>
  </si>
  <si>
    <t>1,23 €</t>
  </si>
  <si>
    <t>1,17 €</t>
  </si>
  <si>
    <t>1,09 €</t>
  </si>
  <si>
    <t>DC305B</t>
  </si>
  <si>
    <t>1,51 €</t>
  </si>
  <si>
    <t>1,35 €</t>
  </si>
  <si>
    <t>1,29 €</t>
  </si>
  <si>
    <t>1,21 €</t>
  </si>
  <si>
    <t>DC306</t>
  </si>
  <si>
    <t>1,32 €</t>
  </si>
  <si>
    <t>1,05 € soit -20%</t>
  </si>
  <si>
    <t>DC307</t>
  </si>
  <si>
    <t>1,12 €</t>
  </si>
  <si>
    <t>1,02 €</t>
  </si>
  <si>
    <t>0,96 €</t>
  </si>
  <si>
    <t>0,90 €</t>
  </si>
  <si>
    <t>DC307A</t>
  </si>
  <si>
    <t>0,85 €</t>
  </si>
  <si>
    <t>0,80 €</t>
  </si>
  <si>
    <t>0,76 €</t>
  </si>
  <si>
    <t>DC307B</t>
  </si>
  <si>
    <t>DC307C</t>
  </si>
  <si>
    <t>1,39 €</t>
  </si>
  <si>
    <t>1,24 €</t>
  </si>
  <si>
    <t>1,11 €</t>
  </si>
  <si>
    <t>DC307D</t>
  </si>
  <si>
    <t>1,56 €</t>
  </si>
  <si>
    <t>1,41 €</t>
  </si>
  <si>
    <t>1,33 €</t>
  </si>
  <si>
    <t>FA2222</t>
  </si>
  <si>
    <t>1,25 €</t>
  </si>
  <si>
    <t>0,50 € soit -60%</t>
  </si>
  <si>
    <t>DC308</t>
  </si>
  <si>
    <t>0,67 € soit -40%</t>
  </si>
  <si>
    <t>DC308A</t>
  </si>
  <si>
    <t>DC308B</t>
  </si>
  <si>
    <t>1,06 €</t>
  </si>
  <si>
    <t>DC309</t>
  </si>
  <si>
    <t>DC310</t>
  </si>
  <si>
    <t>1,20 €</t>
  </si>
  <si>
    <t>DC310A</t>
  </si>
  <si>
    <t>1,43 €</t>
  </si>
  <si>
    <t>1,14 €</t>
  </si>
  <si>
    <t>DC310C</t>
  </si>
  <si>
    <t>2,10 €</t>
  </si>
  <si>
    <t>1,89 €</t>
  </si>
  <si>
    <t>1,78 €</t>
  </si>
  <si>
    <t>1,68 €</t>
  </si>
  <si>
    <t>DC311</t>
  </si>
  <si>
    <t>1,74 €</t>
  </si>
  <si>
    <t>1,57 €</t>
  </si>
  <si>
    <t>1,47 €</t>
  </si>
  <si>
    <t>DC312</t>
  </si>
  <si>
    <t>1,99 €</t>
  </si>
  <si>
    <t>1,69 €</t>
  </si>
  <si>
    <t>1,60 €</t>
  </si>
  <si>
    <t>DC313</t>
  </si>
  <si>
    <t>DC313A</t>
  </si>
  <si>
    <t>2,40 €</t>
  </si>
  <si>
    <t>2,16 €</t>
  </si>
  <si>
    <t>2,04 €</t>
  </si>
  <si>
    <t>1,91 €</t>
  </si>
  <si>
    <t>DC314</t>
  </si>
  <si>
    <t>1,34 €</t>
  </si>
  <si>
    <t>DC315</t>
  </si>
  <si>
    <t>DC316</t>
  </si>
  <si>
    <t>1,73 €</t>
  </si>
  <si>
    <t>1,46 €</t>
  </si>
  <si>
    <t>1,38 €</t>
  </si>
  <si>
    <t>DC317</t>
  </si>
  <si>
    <t>2,43 €</t>
  </si>
  <si>
    <t>1,34 € soit -45%</t>
  </si>
  <si>
    <t>DC318</t>
  </si>
  <si>
    <t>2,54 €</t>
  </si>
  <si>
    <t>2,29 €</t>
  </si>
  <si>
    <t>Cannelure</t>
  </si>
  <si>
    <t>Américaine</t>
  </si>
  <si>
    <t>Simple cannelure</t>
  </si>
  <si>
    <t>Double cannelure</t>
  </si>
  <si>
    <t>Triple cannelure</t>
  </si>
  <si>
    <t>Poids          Kg</t>
  </si>
  <si>
    <t>Litre</t>
  </si>
  <si>
    <t>ondulation simple</t>
  </si>
  <si>
    <t>gr/m²</t>
  </si>
  <si>
    <t>ondulation double</t>
  </si>
  <si>
    <t>ondulation triple</t>
  </si>
  <si>
    <t>SACHET‑1218‑15</t>
  </si>
  <si>
    <t>SACHET‑1525‑15</t>
  </si>
  <si>
    <t>SACHET‑1530‑15</t>
  </si>
  <si>
    <t>SACHET‑2236‑15</t>
  </si>
  <si>
    <t>SACHET‑2332‑15</t>
  </si>
  <si>
    <t>SACHET‑2535‑15</t>
  </si>
  <si>
    <t>SACHET‑2540‑15</t>
  </si>
  <si>
    <t>SACHET‑3050‑15</t>
  </si>
  <si>
    <t>SACHET‑3545‑15</t>
  </si>
  <si>
    <t>SACHET‑4060‑15</t>
  </si>
  <si>
    <t>SACHET‑5080‑15</t>
  </si>
  <si>
    <t>SACHET‑5090‑15</t>
  </si>
  <si>
    <t>SACHET‑6010‑15</t>
  </si>
  <si>
    <t>SACHET‑60120‑15</t>
  </si>
  <si>
    <t>SACHET‑70150‑15</t>
  </si>
  <si>
    <t xml:space="preserve">Référence </t>
  </si>
  <si>
    <t xml:space="preserve">Epaisseur (µ) </t>
  </si>
  <si>
    <t xml:space="preserve">Dimensions l x h (mm) </t>
  </si>
  <si>
    <t>L</t>
  </si>
  <si>
    <t>Customs Nomenclature</t>
  </si>
  <si>
    <t>Box Number</t>
  </si>
  <si>
    <t>02</t>
  </si>
  <si>
    <t>03</t>
  </si>
  <si>
    <t>04</t>
  </si>
  <si>
    <t>05</t>
  </si>
  <si>
    <t>06</t>
  </si>
  <si>
    <t>07</t>
  </si>
  <si>
    <t>08</t>
  </si>
  <si>
    <t xml:space="preserve">Incoterms </t>
  </si>
  <si>
    <t>Date    :</t>
  </si>
  <si>
    <t>Currency of Payment    :</t>
  </si>
  <si>
    <t>Beneficiary : Madatrade Ltd - Iban : MU43BKON0516000164252816000USD</t>
  </si>
  <si>
    <t>Bank : Bank One Ltd.</t>
  </si>
  <si>
    <t>USA Swift Code : CITIUS33 - Account N°36908651</t>
  </si>
  <si>
    <t>Account With Institution : BKONMUMU (BANK ONE LTD - Field 57A)</t>
  </si>
  <si>
    <t>Payment by Swift transfer:</t>
  </si>
  <si>
    <t>Densité  moyenne</t>
  </si>
  <si>
    <t>Qty   U</t>
  </si>
  <si>
    <t>Moyenne</t>
  </si>
  <si>
    <t>USD - US Dollar</t>
  </si>
  <si>
    <t>09</t>
  </si>
  <si>
    <t>l</t>
  </si>
  <si>
    <t>h</t>
  </si>
  <si>
    <t>Poids kg</t>
  </si>
  <si>
    <t>M3</t>
  </si>
  <si>
    <t>N°</t>
  </si>
  <si>
    <t>Client</t>
  </si>
  <si>
    <t>Ville</t>
  </si>
  <si>
    <t>Pays</t>
  </si>
  <si>
    <t>N° de Fax</t>
  </si>
  <si>
    <t>N° de Tel</t>
  </si>
  <si>
    <t>Email</t>
  </si>
  <si>
    <t>10</t>
  </si>
  <si>
    <t>11</t>
  </si>
  <si>
    <t>12</t>
  </si>
  <si>
    <t>13</t>
  </si>
  <si>
    <t>14</t>
  </si>
  <si>
    <t>15</t>
  </si>
  <si>
    <t>16</t>
  </si>
  <si>
    <t>17</t>
  </si>
  <si>
    <t>18</t>
  </si>
  <si>
    <t>19</t>
  </si>
  <si>
    <t>20</t>
  </si>
  <si>
    <t>21</t>
  </si>
  <si>
    <t>22</t>
  </si>
  <si>
    <t>23</t>
  </si>
  <si>
    <t>24</t>
  </si>
  <si>
    <t>25</t>
  </si>
  <si>
    <t>COMMERCIALE INVOICE</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</si>
  <si>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</si>
  <si>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</si>
  <si>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</si>
  <si>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</si>
  <si>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</si>
  <si>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</si>
  <si>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</si>
  <si>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</si>
  <si>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</si>
  <si>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</si>
  <si>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</si>
  <si>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</si>
  <si>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</si>
  <si>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</si>
  <si>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</si>
  <si>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</si>
  <si>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</si>
  <si>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</si>
  <si>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</si>
  <si>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</si>
  <si>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</si>
  <si>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</si>
  <si>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</si>
  <si>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</si>
  <si>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</si>
  <si>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Titre</t>
  </si>
  <si>
    <t>Produits</t>
  </si>
  <si>
    <t xml:space="preserve">Pierres gemmes (précieuses ou fines), brutes ou simpl. sciées ou dégrossies, même assorties (autres que les diamants et les imitations de pierres gemmes précieuses ou fines) </t>
  </si>
  <si>
    <t>Famille</t>
  </si>
  <si>
    <t>MIN</t>
  </si>
  <si>
    <t>14 cm - 16 cm</t>
  </si>
  <si>
    <t>14 cm - 20 cm</t>
  </si>
  <si>
    <t>10 cm - 12,5 cm</t>
  </si>
  <si>
    <t>Coupé &lt;5 cm    Entière &lt;10 cm</t>
  </si>
  <si>
    <t>Descriptif</t>
  </si>
  <si>
    <t>SPI</t>
  </si>
  <si>
    <t>17 cm +</t>
  </si>
  <si>
    <t>13 cm +</t>
  </si>
  <si>
    <t>CARTONS UTILISES</t>
  </si>
  <si>
    <t>Vanille, non broyée ni pulvérisée</t>
  </si>
  <si>
    <t>CAFÉ, THÉ, MATÉ ET ÉPICES</t>
  </si>
  <si>
    <t>Chapitre</t>
  </si>
  <si>
    <t>09051000</t>
  </si>
  <si>
    <t>71</t>
  </si>
  <si>
    <t>PERLES FINES OU DE CULTURE, PIERRES GEMMES OU SIMILAIRES, MÉTAUX PRÉCIEUX, PLAQUÉS OU DOUBLÉS DE MÉTAUX PRÉCIEUX ET OUVRAGES EN CES MATIÈRES; BIJOUTERIE DE FANTAISIE; MONNAIES</t>
  </si>
  <si>
    <t>Adegma Ltd.</t>
  </si>
  <si>
    <t>95 Route de la Roche sur Yon</t>
  </si>
  <si>
    <t>Code Postal</t>
  </si>
  <si>
    <t>Aizenay</t>
  </si>
  <si>
    <t>France</t>
  </si>
  <si>
    <t>Province</t>
  </si>
  <si>
    <t>+336753412</t>
  </si>
  <si>
    <t>+33251946673</t>
  </si>
  <si>
    <t>christophe.guibert2@gmail.com</t>
  </si>
  <si>
    <t>z</t>
  </si>
  <si>
    <t xml:space="preserve">Vanille Black Gourmet (Grade A) </t>
  </si>
  <si>
    <t xml:space="preserve">Vanille Brown or TK </t>
  </si>
  <si>
    <t xml:space="preserve">Vanille Cuts </t>
  </si>
  <si>
    <t>CREDIT NOTE</t>
  </si>
  <si>
    <t>Total    Amount</t>
  </si>
  <si>
    <t>PROFORMA INVOICE</t>
  </si>
  <si>
    <t>CO</t>
  </si>
  <si>
    <t>PR</t>
  </si>
  <si>
    <t>CR</t>
  </si>
  <si>
    <t>GBP - British Pound</t>
  </si>
  <si>
    <t xml:space="preserve">Unit       Price        </t>
  </si>
  <si>
    <t>Penny</t>
  </si>
  <si>
    <t>Ar</t>
  </si>
  <si>
    <t>-</t>
  </si>
  <si>
    <t>¥</t>
  </si>
  <si>
    <t>PPY - Japanese Yen</t>
  </si>
  <si>
    <t>Sen</t>
  </si>
  <si>
    <t>Name</t>
  </si>
  <si>
    <t>Minor Unit</t>
  </si>
  <si>
    <t>Symbol</t>
  </si>
  <si>
    <t>£</t>
  </si>
  <si>
    <t>€</t>
  </si>
  <si>
    <t>$</t>
  </si>
  <si>
    <t>Rs</t>
  </si>
  <si>
    <t>Cent</t>
  </si>
  <si>
    <t>Adresse 2</t>
  </si>
  <si>
    <t>Adresse 1</t>
  </si>
  <si>
    <t>Durand Ets.</t>
  </si>
  <si>
    <t>1 Cours Lieutaud</t>
  </si>
  <si>
    <t>Bâtiment B</t>
  </si>
  <si>
    <t>Marseille</t>
  </si>
  <si>
    <t>1</t>
  </si>
  <si>
    <t>2</t>
  </si>
  <si>
    <t>3</t>
  </si>
  <si>
    <t>4</t>
  </si>
  <si>
    <t>5</t>
  </si>
  <si>
    <t>6</t>
  </si>
  <si>
    <t>7</t>
  </si>
  <si>
    <t>8</t>
  </si>
  <si>
    <t>9</t>
  </si>
  <si>
    <t>Europe Guest House</t>
  </si>
  <si>
    <t>51 Street 136</t>
  </si>
  <si>
    <t>Phnom Penh</t>
  </si>
  <si>
    <t>Cambodia</t>
  </si>
  <si>
    <t>Laissue Michel</t>
  </si>
  <si>
    <t>6 Chemin du Buet</t>
  </si>
  <si>
    <t/>
  </si>
  <si>
    <t>Phsar Kandal, Duan Penh</t>
  </si>
  <si>
    <t>Chêne-Bourg</t>
  </si>
  <si>
    <t>Suisse</t>
  </si>
  <si>
    <t>84 Rue Pierre Brossolette</t>
  </si>
  <si>
    <t>La Roche sur Yon</t>
  </si>
  <si>
    <t>AOA Atlantique Ouest Automobiles</t>
  </si>
  <si>
    <t>Swift Freight Logistics Limited</t>
  </si>
  <si>
    <t>61 Street 570, Sangkat</t>
  </si>
  <si>
    <t>Boeung Kok2, Khan Toul Kork</t>
  </si>
  <si>
    <t>PACKING LIST</t>
  </si>
  <si>
    <t>Exporter :</t>
  </si>
  <si>
    <t>Packing list date :</t>
  </si>
  <si>
    <t>Madatrade Ltd</t>
  </si>
  <si>
    <t>Adresse: Super U Complex, Grand Bay, Mauritius Island</t>
  </si>
  <si>
    <t>Packing list number :</t>
  </si>
  <si>
    <t>RC: …...        STAT: ….. .. ……….          NIF: ………</t>
  </si>
  <si>
    <t>Consignee :</t>
  </si>
  <si>
    <t>Buyer :</t>
  </si>
  <si>
    <t>Embarkation Point :</t>
  </si>
  <si>
    <t>Super U Complex</t>
  </si>
  <si>
    <t>Incoterms :</t>
  </si>
  <si>
    <t>Grand Bay</t>
  </si>
  <si>
    <t>Mauritius</t>
  </si>
  <si>
    <t>Container number :</t>
  </si>
  <si>
    <t>Tel: +230 52573877</t>
  </si>
  <si>
    <t>Carton</t>
  </si>
  <si>
    <t>Commercial Invoice number :</t>
  </si>
  <si>
    <t>U</t>
  </si>
  <si>
    <t>Comment :</t>
  </si>
  <si>
    <t>Doc Number   :</t>
  </si>
  <si>
    <t>• Indiquer le numéro et la date de facture</t>
  </si>
  <si>
    <t>• indiquer de manière détaillée le nombre de colis,le poids brut, le poids net et le volume.</t>
  </si>
  <si>
    <t>Ces éléments doivent être compatibles avec les autres documents, notemment de transport.</t>
  </si>
  <si>
    <t>• Indiquer la nature de la marchandise correspondante aux colis.</t>
  </si>
  <si>
    <t>Elle peut être décrite en termes généraux.</t>
  </si>
  <si>
    <t>• Indiquer le nombre total de colis</t>
  </si>
  <si>
    <t>Boite Rouge</t>
  </si>
  <si>
    <t>Boite Noire</t>
  </si>
  <si>
    <t>Box</t>
  </si>
  <si>
    <t>51</t>
  </si>
  <si>
    <t>52</t>
  </si>
  <si>
    <t>53</t>
  </si>
  <si>
    <t>54</t>
  </si>
  <si>
    <t>55</t>
  </si>
  <si>
    <t>56</t>
  </si>
  <si>
    <t>57</t>
  </si>
  <si>
    <t>58</t>
  </si>
  <si>
    <t>59</t>
  </si>
  <si>
    <t>61</t>
  </si>
  <si>
    <t>62</t>
  </si>
  <si>
    <t>09051001</t>
  </si>
  <si>
    <t>09051002</t>
  </si>
  <si>
    <t>09051003</t>
  </si>
  <si>
    <t>09051004</t>
  </si>
  <si>
    <t>09051005</t>
  </si>
  <si>
    <t>09051006</t>
  </si>
  <si>
    <t>09051007</t>
  </si>
  <si>
    <t>09051008</t>
  </si>
  <si>
    <t>09051009</t>
  </si>
  <si>
    <t>09051010</t>
  </si>
  <si>
    <t>09051011</t>
  </si>
  <si>
    <t>U Vente</t>
  </si>
  <si>
    <t>Brut</t>
  </si>
  <si>
    <t>Total Net Weight     Kg</t>
  </si>
  <si>
    <t>Tel : +230 52573877                 E-mail :</t>
  </si>
  <si>
    <t>Total Brut Weight Box            Kg</t>
  </si>
  <si>
    <t>+855965388516</t>
  </si>
  <si>
    <t>Air Way Bill number :</t>
  </si>
  <si>
    <t>Net Total Weight                                          Kg</t>
  </si>
  <si>
    <t>Brut Total Weight                                        Kg</t>
  </si>
  <si>
    <t>Box Quantity                                                U</t>
  </si>
  <si>
    <t>Total Volume                                               m3</t>
  </si>
  <si>
    <t>Number Of Units                                          U</t>
  </si>
  <si>
    <t>Qty     U</t>
  </si>
  <si>
    <t>U  Vente</t>
  </si>
  <si>
    <t>Incoterm</t>
  </si>
  <si>
    <t>Net Weight    Kg  U</t>
  </si>
  <si>
    <t>Net Weight  Kg    U</t>
  </si>
  <si>
    <t>Order Number :</t>
  </si>
  <si>
    <r>
      <t xml:space="preserve">Net Total Weight                                      </t>
    </r>
    <r>
      <rPr>
        <b/>
        <sz val="10"/>
        <rFont val="Arial"/>
        <family val="2"/>
      </rPr>
      <t>KG</t>
    </r>
  </si>
  <si>
    <r>
      <t xml:space="preserve">Brut Total Weight                                     </t>
    </r>
    <r>
      <rPr>
        <b/>
        <sz val="10"/>
        <rFont val="Arial"/>
        <family val="2"/>
      </rPr>
      <t>KG</t>
    </r>
  </si>
  <si>
    <r>
      <t xml:space="preserve">Number of Package                                  </t>
    </r>
    <r>
      <rPr>
        <b/>
        <sz val="10"/>
        <rFont val="Arial"/>
        <family val="2"/>
      </rPr>
      <t>U</t>
    </r>
  </si>
  <si>
    <r>
      <t xml:space="preserve">Total Volume                                            </t>
    </r>
    <r>
      <rPr>
        <b/>
        <sz val="10"/>
        <color theme="1"/>
        <rFont val="Arial"/>
        <family val="2"/>
      </rPr>
      <t>m3</t>
    </r>
  </si>
  <si>
    <t>Embakation Point</t>
  </si>
  <si>
    <t>Port Louis  / Maurituis</t>
  </si>
  <si>
    <t>Emballage                     Dim. / Cannelure</t>
  </si>
  <si>
    <r>
      <t xml:space="preserve">Titre du Document   </t>
    </r>
    <r>
      <rPr>
        <sz val="10"/>
        <rFont val="Arial"/>
        <family val="2"/>
      </rPr>
      <t>Suivant liste Déroulante</t>
    </r>
  </si>
  <si>
    <r>
      <t xml:space="preserve">Incoterm                 </t>
    </r>
    <r>
      <rPr>
        <sz val="10"/>
        <rFont val="Arial"/>
        <family val="2"/>
      </rPr>
      <t xml:space="preserve">  Suivant liste Déroulante</t>
    </r>
  </si>
  <si>
    <r>
      <t xml:space="preserve">Devise                      </t>
    </r>
    <r>
      <rPr>
        <sz val="10"/>
        <rFont val="Arial"/>
        <family val="2"/>
      </rPr>
      <t>Suivant liste Déroulante</t>
    </r>
  </si>
  <si>
    <r>
      <t xml:space="preserve">Adresse Client          </t>
    </r>
    <r>
      <rPr>
        <sz val="10"/>
        <rFont val="Arial"/>
        <family val="2"/>
      </rPr>
      <t>Suivant liste Déroulante</t>
    </r>
  </si>
  <si>
    <r>
      <t xml:space="preserve">N° de Cde    </t>
    </r>
    <r>
      <rPr>
        <sz val="10"/>
        <color theme="1"/>
        <rFont val="Arial"/>
        <family val="2"/>
      </rPr>
      <t>Si pas de N° mettre NOM du Client</t>
    </r>
  </si>
  <si>
    <t>Box N°</t>
  </si>
  <si>
    <t>B</t>
  </si>
  <si>
    <t>A</t>
  </si>
  <si>
    <t>E</t>
  </si>
  <si>
    <t>I</t>
  </si>
  <si>
    <t>O</t>
  </si>
  <si>
    <t>P</t>
  </si>
  <si>
    <t>H</t>
  </si>
  <si>
    <t>J</t>
  </si>
  <si>
    <t>K</t>
  </si>
  <si>
    <t>M</t>
  </si>
  <si>
    <t>C</t>
  </si>
  <si>
    <t>N</t>
  </si>
  <si>
    <t>Doc Number</t>
  </si>
  <si>
    <t>CO / CR</t>
  </si>
  <si>
    <t>Mois</t>
  </si>
  <si>
    <t>Année</t>
  </si>
  <si>
    <r>
      <t xml:space="preserve">Labradorite / Spectrolite     </t>
    </r>
    <r>
      <rPr>
        <b/>
        <sz val="10"/>
        <color theme="1"/>
        <rFont val="Arial"/>
        <family val="2"/>
      </rPr>
      <t xml:space="preserve"> Kg</t>
    </r>
  </si>
  <si>
    <r>
      <t xml:space="preserve">Cordierite / Iolite                 </t>
    </r>
    <r>
      <rPr>
        <b/>
        <sz val="10"/>
        <color theme="1"/>
        <rFont val="Arial"/>
        <family val="2"/>
      </rPr>
      <t>Gr</t>
    </r>
  </si>
  <si>
    <r>
      <t xml:space="preserve">Garnet                               </t>
    </r>
    <r>
      <rPr>
        <b/>
        <sz val="10"/>
        <color theme="1"/>
        <rFont val="Arial"/>
        <family val="2"/>
      </rPr>
      <t>Gr</t>
    </r>
  </si>
  <si>
    <r>
      <t xml:space="preserve">Citrine                               </t>
    </r>
    <r>
      <rPr>
        <b/>
        <sz val="10"/>
        <color theme="1"/>
        <rFont val="Arial"/>
        <family val="2"/>
      </rPr>
      <t>Gr</t>
    </r>
  </si>
  <si>
    <r>
      <t xml:space="preserve">Aquamarine                       </t>
    </r>
    <r>
      <rPr>
        <b/>
        <sz val="10"/>
        <color theme="1"/>
        <rFont val="Arial"/>
        <family val="2"/>
      </rPr>
      <t>Gr</t>
    </r>
  </si>
  <si>
    <r>
      <t xml:space="preserve">Apatite                               </t>
    </r>
    <r>
      <rPr>
        <b/>
        <sz val="10"/>
        <color theme="1"/>
        <rFont val="Arial"/>
        <family val="2"/>
      </rPr>
      <t>Gr</t>
    </r>
  </si>
  <si>
    <r>
      <t xml:space="preserve">Amethyst                           </t>
    </r>
    <r>
      <rPr>
        <b/>
        <sz val="10"/>
        <color theme="1"/>
        <rFont val="Arial"/>
        <family val="2"/>
      </rPr>
      <t>Gr</t>
    </r>
  </si>
  <si>
    <t>D</t>
  </si>
  <si>
    <t>F</t>
  </si>
  <si>
    <t>G</t>
  </si>
  <si>
    <t>ART</t>
  </si>
  <si>
    <t>DIV</t>
  </si>
  <si>
    <t>Poids</t>
  </si>
  <si>
    <t>Family</t>
  </si>
  <si>
    <t>(vide)</t>
  </si>
  <si>
    <t>Total général</t>
  </si>
  <si>
    <t>Étiquettes de lignes</t>
  </si>
  <si>
    <t>(Tous)</t>
  </si>
  <si>
    <t>Somme de Total    Amount</t>
  </si>
  <si>
    <t>Valeurs</t>
  </si>
  <si>
    <t>Somme de Net Weight  Kg    U</t>
  </si>
  <si>
    <t>Devise</t>
  </si>
  <si>
    <t xml:space="preserve"> </t>
  </si>
  <si>
    <t>CO 06 180801 110353</t>
  </si>
  <si>
    <t>2018</t>
  </si>
  <si>
    <t>CO 03 180801 130751</t>
  </si>
  <si>
    <t>30 x 25 x 20       2</t>
  </si>
  <si>
    <t xml:space="preserve"> Sale      U </t>
  </si>
  <si>
    <t xml:space="preserve">Vanille Black Gourmet (Grade A 17+) </t>
  </si>
  <si>
    <t>Vanille Red American quality EB Long  (13+)</t>
  </si>
  <si>
    <t xml:space="preserve">VanilleBlack Gourmet (Grade A 14 - 16) </t>
  </si>
  <si>
    <t>Vanille Red American quality EB Short (10 - 12,5)</t>
  </si>
  <si>
    <t>Vanille Red American quality ENB Long (13+)</t>
  </si>
  <si>
    <t>Vanille Red American quality ENB Short (10 - 12,5)</t>
  </si>
  <si>
    <t>Vanille Red Fox (Europ.Quality) EB Long (13+)</t>
  </si>
  <si>
    <t xml:space="preserve">Vanille Red Fox (Europ. quality) EB Short (10 - 12,5) </t>
  </si>
  <si>
    <t>vanille Red Fox (Europ. quality) ENB Long (13+)</t>
  </si>
  <si>
    <t xml:space="preserve">Vanille Red Fox (Europ. quality) ENB Short (10 - 12,5) </t>
  </si>
  <si>
    <t>Poids des U</t>
  </si>
  <si>
    <t>KSDJLj</t>
  </si>
  <si>
    <t>CO 02 180801 151317</t>
  </si>
  <si>
    <t>kdjklz%FHZkjgkjgklsdnghsdvzjgmslK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</si>
</sst>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409]mmmm\ d\,\ yyyy;@"/>
    <numFmt numFmtId="165" formatCode="#,##0.0000"/>
    <numFmt numFmtId="166" formatCode="[$$-409]#,##0.000"/>
    <numFmt numFmtId="167" formatCode="[$$-409]#,##0.00"/>
    <numFmt numFmtId="168" formatCode="#,##0.000"/>
    <numFmt numFmtId="169" formatCode="0.000"/>
    <numFmt numFmtId="170" formatCode="0.0000"/>
    <numFmt numFmtId="171" formatCode="#,##0.0000\ &quot;€&quot;"/>
    <numFmt numFmtId="172" formatCode="yyyymmdd"/>
    <numFmt numFmtId="173" formatCode="h:mm:ss;@"/>
    <numFmt numFmtId="174" formatCode="hhmmss"/>
    <numFmt numFmtId="175" formatCode="#\ ##0.00"/>
    <numFmt numFmtId="176" formatCode="[$£-F0000]#,##0.00"/>
  </numFmts>
  <fonts count="69">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name val="Arial"/>
      <family val="2"/>
    </font>
    <font>
      <b/>
      <sz val="10"/>
      <name val="Arial"/>
      <family val="2"/>
    </font>
    <font>
      <b/>
      <sz val="12"/>
      <name val="Arial"/>
      <family val="2"/>
    </font>
    <font>
      <b/>
      <sz val="11"/>
      <name val="Arial"/>
      <family val="2"/>
    </font>
    <font>
      <b/>
      <sz val="10"/>
      <color theme="1"/>
      <name val="Arial"/>
      <family val="2"/>
    </font>
    <font>
      <u/>
      <sz val="11"/>
      <color theme="10"/>
      <name val="Calibri"/>
      <family val="2"/>
    </font>
    <font>
      <b/>
      <sz val="20"/>
      <color theme="1"/>
      <name val="Arial"/>
      <family val="2"/>
    </font>
    <font>
      <sz val="20"/>
      <color theme="1"/>
      <name val="Arial"/>
      <family val="2"/>
    </font>
    <font>
      <b/>
      <sz val="11"/>
      <color theme="1"/>
      <name val="Calibri"/>
      <family val="2"/>
      <scheme val="minor"/>
    </font>
    <font>
      <sz val="9"/>
      <color indexed="81"/>
      <name val="Tahoma"/>
      <family val="2"/>
    </font>
    <font>
      <b/>
      <sz val="9"/>
      <color indexed="81"/>
      <name val="Tahoma"/>
      <family val="2"/>
    </font>
    <font>
      <b/>
      <sz val="11"/>
      <color theme="1"/>
      <name val="Arial"/>
      <family val="2"/>
    </font>
    <font>
      <sz val="11"/>
      <color theme="1"/>
      <name val="Arial"/>
      <family val="2"/>
    </font>
    <font>
      <sz val="10"/>
      <color rgb="FF141412"/>
      <name val="Arial"/>
      <family val="2"/>
    </font>
    <font>
      <b/>
      <sz val="10"/>
      <color rgb="FF000000"/>
      <name val="Arial"/>
      <family val="2"/>
    </font>
    <font>
      <b/>
      <sz val="20"/>
      <name val="Arial"/>
      <family val="2"/>
    </font>
    <font>
      <b/>
      <sz val="22"/>
      <color theme="1"/>
      <name val="Arial"/>
      <family val="2"/>
    </font>
    <font>
      <b/>
      <sz val="18"/>
      <color indexed="81"/>
      <name val="Arial"/>
      <family val="2"/>
    </font>
    <font>
      <b/>
      <sz val="10"/>
      <color indexed="81"/>
      <name val="Arial"/>
      <family val="2"/>
    </font>
    <font>
      <sz val="11"/>
      <name val="Arial"/>
      <family val="2"/>
    </font>
    <font>
      <b/>
      <sz val="12"/>
      <color indexed="81"/>
      <name val="Tahoma"/>
      <family val="2"/>
    </font>
    <font>
      <b/>
      <sz val="11"/>
      <color indexed="81"/>
      <name val="Tahoma"/>
      <family val="2"/>
    </font>
    <font>
      <u/>
      <sz val="10"/>
      <color theme="10"/>
      <name val="Arial"/>
      <family val="2"/>
    </font>
    <font>
      <b/>
      <sz val="16"/>
      <name val="Arial"/>
      <family val="2"/>
    </font>
    <font>
      <b/>
      <sz val="9"/>
      <name val="Arial"/>
      <family val="2"/>
    </font>
    <font>
      <sz val="10"/>
      <color theme="1"/>
      <name val="Arial Unicode MS"/>
      <family val="2"/>
    </font>
    <font>
      <b/>
      <sz val="18"/>
      <color indexed="81"/>
      <name val="Tahoma"/>
      <family val="2"/>
    </font>
    <font>
      <b/>
      <sz val="10"/>
      <color indexed="81"/>
      <name val="Tahoma"/>
      <family val="2"/>
    </font>
    <font>
      <b/>
      <sz val="16"/>
      <color rgb="FF000000"/>
      <name val="Arial"/>
      <family val="2"/>
    </font>
    <font>
      <b/>
      <sz val="18"/>
      <color rgb="FF000000"/>
      <name val="Arial"/>
      <family val="2"/>
    </font>
    <font>
      <b/>
      <sz val="10"/>
      <color theme="0"/>
      <name val="Arial"/>
      <family val="2"/>
    </font>
    <font>
      <sz val="8"/>
      <color theme="0"/>
      <name val="Arial"/>
      <family val="2"/>
    </font>
    <font>
      <sz val="9"/>
      <color theme="1"/>
      <name val="Arial"/>
      <family val="2"/>
    </font>
    <font>
      <b/>
      <sz val="18"/>
      <color rgb="FF000000"/>
      <name val="Calibri"/>
      <family val="2"/>
      <scheme val="minor"/>
    </font>
    <font>
      <b/>
      <sz val="12"/>
      <color rgb="FF000000"/>
      <name val="Arial"/>
      <family val="2"/>
    </font>
    <font>
      <sz val="11"/>
      <color rgb="FF000000"/>
      <name val="Calibri"/>
      <family val="2"/>
      <scheme val="minor"/>
    </font>
    <font>
      <b/>
      <sz val="9"/>
      <color theme="1"/>
      <name val="Arial"/>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FFCC"/>
        <bgColor indexed="64"/>
      </patternFill>
    </fill>
    <fill>
      <patternFill patternType="solid">
        <fgColor indexed="22"/>
        <bgColor indexed="64"/>
      </patternFill>
    </fill>
    <fill>
      <patternFill patternType="solid">
        <fgColor theme="5"/>
        <bgColor indexed="64"/>
      </patternFill>
    </fill>
    <fill>
      <patternFill patternType="solid">
        <fgColor theme="9" tint="-0.249977111117893"/>
        <bgColor indexed="64"/>
      </patternFill>
    </fill>
  </fills>
  <borders count="73">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ck">
        <color auto="1"/>
      </left>
      <right style="thick">
        <color auto="1"/>
      </right>
      <top style="thick">
        <color auto="1"/>
      </top>
      <bottom style="thick">
        <color auto="1"/>
      </bottom>
      <diagonal/>
    </border>
    <border>
      <left style="thin">
        <color auto="1"/>
      </left>
      <right/>
      <top/>
      <bottom style="thin">
        <color auto="1"/>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auto="1"/>
      </left>
      <right style="thin">
        <color auto="1"/>
      </right>
      <top style="medium">
        <color auto="1"/>
      </top>
      <bottom style="medium">
        <color auto="1"/>
      </bottom>
      <diagonal/>
    </border>
    <border>
      <left/>
      <right style="thin">
        <color indexed="64"/>
      </right>
      <top style="medium">
        <color indexed="64"/>
      </top>
      <bottom style="medium">
        <color indexed="64"/>
      </bottom>
      <diagonal/>
    </border>
    <border>
      <left style="thin">
        <color auto="1"/>
      </left>
      <right/>
      <top style="thin">
        <color auto="1"/>
      </top>
      <bottom style="medium">
        <color auto="1"/>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auto="1"/>
      </top>
      <bottom/>
      <diagonal/>
    </border>
    <border>
      <left/>
      <right style="thin">
        <color indexed="64"/>
      </right>
      <top style="thin">
        <color auto="1"/>
      </top>
      <bottom/>
      <diagonal/>
    </border>
    <border>
      <left/>
      <right/>
      <top style="thin">
        <color auto="1"/>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ck">
        <color auto="1"/>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auto="1"/>
      </left>
      <right style="thin">
        <color auto="1"/>
      </right>
      <top style="thin">
        <color auto="1"/>
      </top>
      <bottom style="thin">
        <color auto="1"/>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right/>
      <top style="medium">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style="thin">
        <color auto="1"/>
      </top>
      <bottom/>
      <diagonal/>
    </border>
    <border>
      <left style="thin">
        <color indexed="64"/>
      </left>
      <right style="thick">
        <color indexed="64"/>
      </right>
      <top/>
      <bottom/>
      <diagonal/>
    </border>
    <border>
      <left style="thin">
        <color indexed="64"/>
      </left>
      <right style="thick">
        <color indexed="64"/>
      </right>
      <top/>
      <bottom style="thin">
        <color indexed="64"/>
      </bottom>
      <diagonal/>
    </border>
    <border>
      <left style="medium">
        <color indexed="64"/>
      </left>
      <right style="medium">
        <color indexed="64"/>
      </right>
      <top/>
      <bottom style="medium">
        <color indexed="64"/>
      </bottom>
      <diagonal/>
    </border>
    <border>
      <left style="thick">
        <color auto="1"/>
      </left>
      <right/>
      <top style="thick">
        <color auto="1"/>
      </top>
      <bottom style="thin">
        <color auto="1"/>
      </bottom>
      <diagonal/>
    </border>
    <border>
      <left style="thick">
        <color indexed="64"/>
      </left>
      <right/>
      <top style="thin">
        <color indexed="64"/>
      </top>
      <bottom style="thin">
        <color indexed="64"/>
      </bottom>
      <diagonal/>
    </border>
    <border>
      <left style="thick">
        <color auto="1"/>
      </left>
      <right/>
      <top style="thin">
        <color auto="1"/>
      </top>
      <bottom style="thick">
        <color auto="1"/>
      </bottom>
      <diagonal/>
    </border>
    <border>
      <left style="thin">
        <color auto="1"/>
      </left>
      <right style="thick">
        <color auto="1"/>
      </right>
      <top style="thick">
        <color auto="1"/>
      </top>
      <bottom style="thin">
        <color auto="1"/>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style="thick">
        <color auto="1"/>
      </bottom>
      <diagonal/>
    </border>
    <border>
      <left style="thin">
        <color indexed="64"/>
      </left>
      <right style="medium">
        <color indexed="64"/>
      </right>
      <top style="medium">
        <color indexed="64"/>
      </top>
      <bottom/>
      <diagonal/>
    </border>
  </borders>
  <cellStyleXfs count="4">
    <xf numFmtId="0" fontId="0" fillId="0" borderId="0"/>
    <xf numFmtId="0" fontId="32" fillId="0" borderId="0"/>
    <xf numFmtId="0" fontId="37" fillId="0" borderId="0" applyNumberFormat="0" applyFill="0" applyBorder="0" applyAlignment="0" applyProtection="0">
      <alignment vertical="top"/>
      <protection locked="0"/>
    </xf>
    <xf numFmtId="0" fontId="31" fillId="0" borderId="0"/>
  </cellStyleXfs>
  <cellXfs count="612">
    <xf numFmtId="0" fontId="0" fillId="0" borderId="0" xfId="0"/>
    <xf numFmtId="0" fontId="0" fillId="0" borderId="0" xfId="0" applyAlignment="1">
      <alignment horizontal="center" vertical="center"/>
    </xf>
    <xf numFmtId="0" fontId="36" fillId="0" borderId="0" xfId="0" applyFont="1"/>
    <xf numFmtId="169" fontId="38" fillId="0" borderId="8" xfId="0" applyNumberFormat="1" applyFont="1" applyBorder="1" applyAlignment="1">
      <alignment horizontal="center" vertical="center"/>
    </xf>
    <xf numFmtId="3" fontId="38" fillId="0" borderId="8" xfId="0" applyNumberFormat="1" applyFont="1" applyBorder="1" applyAlignment="1">
      <alignment horizontal="center" vertical="center"/>
    </xf>
    <xf numFmtId="0" fontId="38" fillId="0" borderId="0" xfId="0" applyFont="1" applyAlignment="1">
      <alignment horizontal="center" vertical="center"/>
    </xf>
    <xf numFmtId="0" fontId="38" fillId="0" borderId="8" xfId="0" applyFont="1" applyBorder="1" applyAlignment="1">
      <alignment horizontal="center" vertical="center"/>
    </xf>
    <xf numFmtId="168" fontId="38" fillId="0" borderId="8" xfId="0" applyNumberFormat="1" applyFont="1" applyBorder="1" applyAlignment="1">
      <alignment horizontal="center" vertical="center"/>
    </xf>
    <xf numFmtId="0" fontId="38" fillId="0" borderId="8" xfId="0" applyFont="1" applyBorder="1" applyAlignment="1">
      <alignment horizontal="center"/>
    </xf>
    <xf numFmtId="0" fontId="39" fillId="0" borderId="0" xfId="0" applyFont="1" applyAlignment="1">
      <alignment horizontal="center" vertical="center"/>
    </xf>
    <xf numFmtId="0" fontId="39" fillId="3" borderId="8" xfId="0" applyFont="1" applyFill="1" applyBorder="1" applyAlignment="1">
      <alignment horizontal="center" vertical="center"/>
    </xf>
    <xf numFmtId="170" fontId="39" fillId="0" borderId="8" xfId="0" applyNumberFormat="1" applyFont="1" applyBorder="1" applyAlignment="1">
      <alignment horizontal="center" vertical="center"/>
    </xf>
    <xf numFmtId="168" fontId="39" fillId="0" borderId="8" xfId="0" applyNumberFormat="1" applyFont="1" applyBorder="1" applyAlignment="1">
      <alignment horizontal="center" vertical="center"/>
    </xf>
    <xf numFmtId="170" fontId="39" fillId="3" borderId="8" xfId="0" applyNumberFormat="1" applyFont="1" applyFill="1" applyBorder="1" applyAlignment="1">
      <alignment horizontal="center" vertical="center"/>
    </xf>
    <xf numFmtId="4" fontId="39" fillId="0" borderId="8" xfId="0" applyNumberFormat="1" applyFont="1" applyBorder="1" applyAlignment="1">
      <alignment horizontal="center" vertical="center"/>
    </xf>
    <xf numFmtId="9" fontId="0" fillId="0" borderId="0" xfId="0" applyNumberFormat="1"/>
    <xf numFmtId="171" fontId="0" fillId="0" borderId="0" xfId="0" applyNumberFormat="1" applyAlignment="1">
      <alignment horizontal="center" vertical="center"/>
    </xf>
    <xf numFmtId="0" fontId="40" fillId="0" borderId="0" xfId="0" applyFont="1" applyAlignment="1">
      <alignment horizontal="center" vertical="center"/>
    </xf>
    <xf numFmtId="171" fontId="40" fillId="0" borderId="0" xfId="0" applyNumberFormat="1" applyFont="1" applyAlignment="1">
      <alignment horizontal="center" vertical="center"/>
    </xf>
    <xf numFmtId="0" fontId="36" fillId="0" borderId="0" xfId="0" applyFont="1" applyAlignment="1">
      <alignment horizontal="center" vertical="center" wrapText="1"/>
    </xf>
    <xf numFmtId="4" fontId="36" fillId="0" borderId="8" xfId="0" applyNumberFormat="1" applyFont="1" applyBorder="1" applyAlignment="1">
      <alignment horizontal="center" vertical="center" wrapText="1"/>
    </xf>
    <xf numFmtId="0" fontId="36" fillId="0" borderId="7" xfId="0" applyFont="1" applyBorder="1" applyAlignment="1">
      <alignment horizontal="left" vertical="center" wrapText="1"/>
    </xf>
    <xf numFmtId="3" fontId="36" fillId="0" borderId="0" xfId="0" applyNumberFormat="1" applyFont="1" applyAlignment="1">
      <alignment horizontal="center" vertical="center"/>
    </xf>
    <xf numFmtId="3" fontId="32" fillId="0" borderId="8" xfId="1" applyNumberFormat="1" applyFont="1" applyBorder="1" applyAlignment="1">
      <alignment horizontal="center" vertical="center" wrapText="1"/>
    </xf>
    <xf numFmtId="4" fontId="36" fillId="0" borderId="0" xfId="0" applyNumberFormat="1" applyFont="1" applyAlignment="1">
      <alignment horizontal="center" vertical="center"/>
    </xf>
    <xf numFmtId="4" fontId="36" fillId="0" borderId="8" xfId="0" applyNumberFormat="1" applyFont="1" applyBorder="1" applyAlignment="1">
      <alignment horizontal="center" vertical="center"/>
    </xf>
    <xf numFmtId="3" fontId="31" fillId="0" borderId="0" xfId="0" applyNumberFormat="1" applyFont="1" applyAlignment="1">
      <alignment horizontal="center" vertical="center"/>
    </xf>
    <xf numFmtId="168" fontId="36" fillId="0" borderId="0" xfId="0" applyNumberFormat="1" applyFont="1" applyAlignment="1">
      <alignment horizontal="center" vertical="center"/>
    </xf>
    <xf numFmtId="0" fontId="31" fillId="0" borderId="0" xfId="0" applyFont="1" applyAlignment="1">
      <alignment horizontal="center" vertical="center" wrapText="1"/>
    </xf>
    <xf numFmtId="0" fontId="36" fillId="0" borderId="8" xfId="0" applyFont="1" applyBorder="1" applyAlignment="1">
      <alignment horizontal="center" vertical="center"/>
    </xf>
    <xf numFmtId="165" fontId="36" fillId="0" borderId="0" xfId="0" applyNumberFormat="1" applyFont="1" applyAlignment="1">
      <alignment horizontal="center" vertical="center"/>
    </xf>
    <xf numFmtId="4" fontId="36" fillId="0" borderId="7" xfId="0" applyNumberFormat="1" applyFont="1" applyBorder="1" applyAlignment="1">
      <alignment horizontal="center" vertical="center"/>
    </xf>
    <xf numFmtId="165" fontId="36" fillId="0" borderId="5" xfId="0" applyNumberFormat="1" applyFont="1" applyBorder="1" applyAlignment="1">
      <alignment horizontal="center" vertical="center"/>
    </xf>
    <xf numFmtId="168" fontId="36" fillId="0" borderId="0" xfId="0" applyNumberFormat="1" applyFont="1" applyAlignment="1">
      <alignment horizontal="right" vertical="center"/>
    </xf>
    <xf numFmtId="0" fontId="36" fillId="0" borderId="0" xfId="0" applyFont="1" applyAlignment="1">
      <alignment horizontal="center"/>
    </xf>
    <xf numFmtId="0" fontId="36" fillId="0" borderId="0" xfId="0" applyFont="1" applyAlignment="1">
      <alignment horizontal="right"/>
    </xf>
    <xf numFmtId="0" fontId="36" fillId="0" borderId="0" xfId="0" applyFont="1" applyAlignment="1">
      <alignment horizontal="center" vertical="center"/>
    </xf>
    <xf numFmtId="0" fontId="28" fillId="0" borderId="0" xfId="0" applyFont="1" applyAlignment="1">
      <alignment horizontal="right"/>
    </xf>
    <xf numFmtId="4" fontId="28" fillId="0" borderId="0" xfId="0" applyNumberFormat="1" applyFont="1" applyAlignment="1">
      <alignment horizontal="center" vertical="center"/>
    </xf>
    <xf numFmtId="0" fontId="28" fillId="0" borderId="0" xfId="0" applyFont="1" applyAlignment="1">
      <alignment horizontal="center"/>
    </xf>
    <xf numFmtId="0" fontId="28" fillId="0" borderId="0" xfId="0" applyFont="1"/>
    <xf numFmtId="0" fontId="28" fillId="0" borderId="0" xfId="0" applyFont="1" applyAlignment="1">
      <alignment horizontal="center" vertical="center"/>
    </xf>
    <xf numFmtId="169" fontId="28" fillId="0" borderId="0" xfId="0" applyNumberFormat="1" applyFont="1" applyAlignment="1">
      <alignment horizontal="center" vertical="center"/>
    </xf>
    <xf numFmtId="3" fontId="28" fillId="0" borderId="0" xfId="0" applyNumberFormat="1" applyFont="1" applyAlignment="1">
      <alignment horizontal="center" vertical="center"/>
    </xf>
    <xf numFmtId="168" fontId="28" fillId="0" borderId="0" xfId="0" applyNumberFormat="1" applyFont="1" applyAlignment="1">
      <alignment horizontal="center" vertical="center"/>
    </xf>
    <xf numFmtId="0" fontId="44" fillId="0" borderId="0" xfId="0" applyFont="1"/>
    <xf numFmtId="3" fontId="44" fillId="0" borderId="0" xfId="0" applyNumberFormat="1" applyFont="1" applyAlignment="1">
      <alignment horizontal="center" vertical="center"/>
    </xf>
    <xf numFmtId="0" fontId="44" fillId="0" borderId="0" xfId="0" applyFont="1" applyAlignment="1">
      <alignment horizontal="center" vertical="center"/>
    </xf>
    <xf numFmtId="0" fontId="28" fillId="0" borderId="0" xfId="0" applyFont="1" applyAlignment="1">
      <alignment horizontal="center" wrapText="1"/>
    </xf>
    <xf numFmtId="2" fontId="44" fillId="0" borderId="8" xfId="0" applyNumberFormat="1" applyFont="1" applyBorder="1" applyAlignment="1">
      <alignment horizontal="center" vertical="center" wrapText="1"/>
    </xf>
    <xf numFmtId="4" fontId="44" fillId="0" borderId="8" xfId="0" applyNumberFormat="1" applyFont="1" applyBorder="1" applyAlignment="1">
      <alignment horizontal="center" vertical="center"/>
    </xf>
    <xf numFmtId="3" fontId="28" fillId="0" borderId="0" xfId="0" applyNumberFormat="1" applyFont="1" applyAlignment="1">
      <alignment horizontal="center"/>
    </xf>
    <xf numFmtId="0" fontId="44" fillId="0" borderId="0" xfId="0" applyFont="1" applyAlignment="1">
      <alignment horizontal="left" indent="1"/>
    </xf>
    <xf numFmtId="3" fontId="28" fillId="0" borderId="0" xfId="0" applyNumberFormat="1" applyFont="1" applyAlignment="1">
      <alignment horizontal="left" vertical="center"/>
    </xf>
    <xf numFmtId="10" fontId="28" fillId="0" borderId="0" xfId="0" applyNumberFormat="1" applyFont="1" applyAlignment="1">
      <alignment horizontal="center" vertical="center"/>
    </xf>
    <xf numFmtId="0" fontId="44" fillId="0" borderId="0" xfId="0" applyFont="1" applyAlignment="1">
      <alignment horizontal="center" wrapText="1"/>
    </xf>
    <xf numFmtId="9" fontId="28" fillId="0" borderId="0" xfId="0" applyNumberFormat="1" applyFont="1" applyAlignment="1">
      <alignment horizontal="center" vertical="center"/>
    </xf>
    <xf numFmtId="164" fontId="32" fillId="5" borderId="8" xfId="1" applyNumberFormat="1" applyFont="1" applyFill="1" applyBorder="1" applyAlignment="1">
      <alignment horizontal="right" vertical="center"/>
    </xf>
    <xf numFmtId="3" fontId="36" fillId="4" borderId="20" xfId="0" applyNumberFormat="1" applyFont="1" applyFill="1" applyBorder="1" applyAlignment="1">
      <alignment horizontal="center" vertical="center"/>
    </xf>
    <xf numFmtId="167" fontId="32" fillId="0" borderId="0" xfId="1" applyNumberFormat="1" applyFont="1" applyBorder="1" applyAlignment="1" applyProtection="1">
      <alignment horizontal="center" vertical="center" wrapText="1"/>
    </xf>
    <xf numFmtId="49" fontId="27" fillId="0" borderId="0" xfId="0" applyNumberFormat="1" applyFont="1" applyAlignment="1">
      <alignment horizontal="center" vertical="center"/>
    </xf>
    <xf numFmtId="49" fontId="26" fillId="0" borderId="0" xfId="0" applyNumberFormat="1" applyFont="1" applyAlignment="1">
      <alignment horizontal="center" vertical="center"/>
    </xf>
    <xf numFmtId="0" fontId="27" fillId="0" borderId="0" xfId="0" applyFont="1" applyAlignment="1">
      <alignment horizontal="center" vertical="center"/>
    </xf>
    <xf numFmtId="49" fontId="36" fillId="0" borderId="8" xfId="0" applyNumberFormat="1" applyFont="1" applyBorder="1" applyAlignment="1">
      <alignment horizontal="center" vertical="center"/>
    </xf>
    <xf numFmtId="49" fontId="26" fillId="0" borderId="8" xfId="0" applyNumberFormat="1" applyFont="1" applyBorder="1" applyAlignment="1">
      <alignment horizontal="center" vertical="center"/>
    </xf>
    <xf numFmtId="3" fontId="36" fillId="4" borderId="26" xfId="0" applyNumberFormat="1" applyFont="1" applyFill="1" applyBorder="1" applyAlignment="1">
      <alignment horizontal="center" vertical="center"/>
    </xf>
    <xf numFmtId="49" fontId="26" fillId="0" borderId="8" xfId="0" applyNumberFormat="1" applyFont="1" applyFill="1" applyBorder="1" applyAlignment="1">
      <alignment horizontal="center" vertical="center"/>
    </xf>
    <xf numFmtId="0" fontId="36" fillId="0" borderId="0" xfId="0" applyFont="1" applyAlignment="1">
      <alignment horizontal="center" vertical="center"/>
    </xf>
    <xf numFmtId="0" fontId="31" fillId="0" borderId="0" xfId="0" applyFont="1" applyAlignment="1">
      <alignment horizontal="center" vertical="center"/>
    </xf>
    <xf numFmtId="0" fontId="36" fillId="0" borderId="0" xfId="0" applyFont="1" applyAlignment="1">
      <alignment horizontal="center" vertical="center"/>
    </xf>
    <xf numFmtId="0" fontId="25" fillId="0" borderId="8" xfId="0" applyFont="1" applyBorder="1" applyAlignment="1">
      <alignment horizontal="left" vertical="center" wrapText="1"/>
    </xf>
    <xf numFmtId="0" fontId="25" fillId="0" borderId="8" xfId="0" applyFont="1" applyBorder="1" applyAlignment="1">
      <alignment horizontal="center" vertical="center"/>
    </xf>
    <xf numFmtId="0" fontId="25" fillId="0" borderId="8" xfId="0" applyFont="1" applyBorder="1" applyAlignment="1">
      <alignment horizontal="left" vertical="center"/>
    </xf>
    <xf numFmtId="0" fontId="25" fillId="0" borderId="0" xfId="0" applyFont="1" applyAlignment="1">
      <alignment vertical="center"/>
    </xf>
    <xf numFmtId="0" fontId="25" fillId="0" borderId="8" xfId="0" applyFont="1" applyBorder="1" applyAlignment="1">
      <alignment vertical="center"/>
    </xf>
    <xf numFmtId="0" fontId="35" fillId="4" borderId="0" xfId="1" applyFont="1" applyFill="1" applyAlignment="1" applyProtection="1">
      <alignment horizontal="right" vertical="center"/>
    </xf>
    <xf numFmtId="0" fontId="24" fillId="0" borderId="0" xfId="0" applyFont="1" applyAlignment="1">
      <alignment vertical="center"/>
    </xf>
    <xf numFmtId="0" fontId="24" fillId="0" borderId="0" xfId="0" applyFont="1" applyAlignment="1">
      <alignment horizontal="center" vertical="center"/>
    </xf>
    <xf numFmtId="0" fontId="24" fillId="0" borderId="8" xfId="0" applyFont="1" applyBorder="1" applyAlignment="1">
      <alignment horizontal="center" vertical="center"/>
    </xf>
    <xf numFmtId="0" fontId="24" fillId="0" borderId="8" xfId="0" applyFont="1" applyBorder="1" applyAlignment="1">
      <alignment vertical="center"/>
    </xf>
    <xf numFmtId="0" fontId="45" fillId="0" borderId="8" xfId="0" applyFont="1" applyBorder="1" applyAlignment="1">
      <alignment vertical="center"/>
    </xf>
    <xf numFmtId="0" fontId="45" fillId="6" borderId="8" xfId="0" applyFont="1" applyFill="1" applyBorder="1" applyAlignment="1">
      <alignment vertical="center"/>
    </xf>
    <xf numFmtId="0" fontId="24" fillId="0" borderId="18" xfId="0" applyFont="1" applyBorder="1" applyAlignment="1">
      <alignment horizontal="left" vertical="center"/>
    </xf>
    <xf numFmtId="0" fontId="24" fillId="0" borderId="8" xfId="0" applyFont="1" applyBorder="1" applyAlignment="1">
      <alignment horizontal="left" vertical="center"/>
    </xf>
    <xf numFmtId="0" fontId="24" fillId="0" borderId="8" xfId="0" applyFont="1" applyBorder="1" applyAlignment="1">
      <alignment horizontal="left" vertical="center" wrapText="1"/>
    </xf>
    <xf numFmtId="0" fontId="33" fillId="0" borderId="0" xfId="0" applyFont="1" applyFill="1" applyAlignment="1">
      <alignment horizontal="center" vertical="center"/>
    </xf>
    <xf numFmtId="0" fontId="33" fillId="0" borderId="0" xfId="0" applyFont="1" applyFill="1" applyBorder="1" applyAlignment="1">
      <alignment horizontal="center" vertical="center"/>
    </xf>
    <xf numFmtId="168" fontId="33" fillId="0" borderId="10" xfId="0" applyNumberFormat="1" applyFont="1" applyBorder="1" applyAlignment="1">
      <alignment horizontal="center" vertical="center"/>
    </xf>
    <xf numFmtId="49" fontId="36" fillId="0" borderId="0" xfId="0" applyNumberFormat="1" applyFont="1" applyAlignment="1">
      <alignment horizontal="center" vertical="center"/>
    </xf>
    <xf numFmtId="0" fontId="24" fillId="0" borderId="8" xfId="0" applyFont="1" applyBorder="1"/>
    <xf numFmtId="0" fontId="27" fillId="0" borderId="8" xfId="0" applyFont="1" applyBorder="1" applyAlignment="1">
      <alignment vertical="center"/>
    </xf>
    <xf numFmtId="0" fontId="27" fillId="0" borderId="0" xfId="0" applyFont="1" applyAlignment="1">
      <alignment vertical="center"/>
    </xf>
    <xf numFmtId="0" fontId="27" fillId="0" borderId="8" xfId="0" applyFont="1" applyBorder="1" applyAlignment="1">
      <alignment horizontal="center" vertical="center"/>
    </xf>
    <xf numFmtId="0" fontId="26" fillId="0" borderId="8" xfId="0" applyFont="1" applyBorder="1" applyAlignment="1">
      <alignment vertical="center"/>
    </xf>
    <xf numFmtId="49" fontId="27" fillId="0" borderId="8" xfId="0" applyNumberFormat="1" applyFont="1" applyBorder="1" applyAlignment="1">
      <alignment vertical="center"/>
    </xf>
    <xf numFmtId="49" fontId="27" fillId="0" borderId="0" xfId="0" applyNumberFormat="1" applyFont="1" applyAlignment="1">
      <alignment vertical="center"/>
    </xf>
    <xf numFmtId="49" fontId="24" fillId="0" borderId="8" xfId="0" applyNumberFormat="1" applyFont="1" applyBorder="1" applyAlignment="1">
      <alignment vertical="center"/>
    </xf>
    <xf numFmtId="49" fontId="24" fillId="0" borderId="8" xfId="0" applyNumberFormat="1" applyFont="1" applyFill="1" applyBorder="1" applyAlignment="1">
      <alignment horizontal="center" vertical="center"/>
    </xf>
    <xf numFmtId="0" fontId="23" fillId="0" borderId="0" xfId="0" applyFont="1" applyAlignment="1">
      <alignment vertical="center"/>
    </xf>
    <xf numFmtId="0" fontId="33" fillId="5" borderId="22" xfId="0" applyFont="1" applyFill="1" applyBorder="1" applyAlignment="1">
      <alignment horizontal="center" vertical="center"/>
    </xf>
    <xf numFmtId="0" fontId="33" fillId="5" borderId="31" xfId="0" applyFont="1" applyFill="1" applyBorder="1" applyAlignment="1">
      <alignment horizontal="center" vertical="center"/>
    </xf>
    <xf numFmtId="3" fontId="33" fillId="4" borderId="29" xfId="0" applyNumberFormat="1" applyFont="1" applyFill="1" applyBorder="1" applyAlignment="1">
      <alignment horizontal="center" vertical="center"/>
    </xf>
    <xf numFmtId="0" fontId="33" fillId="0" borderId="16" xfId="0" applyFont="1" applyBorder="1" applyAlignment="1">
      <alignment horizontal="center" vertical="center"/>
    </xf>
    <xf numFmtId="0" fontId="33" fillId="5" borderId="23" xfId="0" applyFont="1" applyFill="1" applyBorder="1" applyAlignment="1">
      <alignment horizontal="center" vertical="center"/>
    </xf>
    <xf numFmtId="175" fontId="32" fillId="0" borderId="0" xfId="1" applyNumberFormat="1" applyFont="1" applyBorder="1" applyAlignment="1" applyProtection="1">
      <alignment horizontal="center" vertical="center" wrapText="1"/>
    </xf>
    <xf numFmtId="0" fontId="19" fillId="0" borderId="8" xfId="0" applyFont="1" applyBorder="1" applyAlignment="1">
      <alignment vertical="center"/>
    </xf>
    <xf numFmtId="49" fontId="19" fillId="0" borderId="0" xfId="0" applyNumberFormat="1" applyFont="1" applyAlignment="1">
      <alignment horizontal="center" vertical="center"/>
    </xf>
    <xf numFmtId="0" fontId="37" fillId="0" borderId="0" xfId="2" applyAlignment="1" applyProtection="1"/>
    <xf numFmtId="0" fontId="19" fillId="0" borderId="8" xfId="0" quotePrefix="1" applyFont="1" applyBorder="1" applyAlignment="1">
      <alignment vertical="center"/>
    </xf>
    <xf numFmtId="0" fontId="18" fillId="5" borderId="9" xfId="0" applyFont="1" applyFill="1" applyBorder="1" applyAlignment="1">
      <alignment horizontal="center" vertical="center"/>
    </xf>
    <xf numFmtId="0" fontId="18" fillId="5" borderId="25" xfId="0" applyFont="1" applyFill="1" applyBorder="1" applyAlignment="1">
      <alignment horizontal="center" vertical="center"/>
    </xf>
    <xf numFmtId="165" fontId="18" fillId="0" borderId="9" xfId="0" applyNumberFormat="1" applyFont="1" applyBorder="1" applyAlignment="1">
      <alignment horizontal="center" vertical="center"/>
    </xf>
    <xf numFmtId="4" fontId="18" fillId="0" borderId="28" xfId="0" applyNumberFormat="1" applyFont="1" applyBorder="1" applyAlignment="1">
      <alignment horizontal="center" vertical="center"/>
    </xf>
    <xf numFmtId="0" fontId="18" fillId="0" borderId="0" xfId="0" applyFont="1" applyFill="1" applyBorder="1" applyAlignment="1">
      <alignment horizontal="center" vertical="center"/>
    </xf>
    <xf numFmtId="0" fontId="18" fillId="5" borderId="8" xfId="0" applyFont="1" applyFill="1" applyBorder="1" applyAlignment="1">
      <alignment horizontal="center" vertical="center"/>
    </xf>
    <xf numFmtId="0" fontId="18" fillId="5" borderId="7" xfId="0" applyFont="1" applyFill="1" applyBorder="1" applyAlignment="1">
      <alignment horizontal="center" vertical="center"/>
    </xf>
    <xf numFmtId="165" fontId="18" fillId="0" borderId="8" xfId="0" applyNumberFormat="1" applyFont="1" applyBorder="1" applyAlignment="1">
      <alignment horizontal="center" vertical="center"/>
    </xf>
    <xf numFmtId="4" fontId="18" fillId="0" borderId="21" xfId="0" applyNumberFormat="1" applyFont="1" applyBorder="1" applyAlignment="1">
      <alignment horizontal="center" vertical="center"/>
    </xf>
    <xf numFmtId="0" fontId="18" fillId="0" borderId="0" xfId="0" applyFont="1"/>
    <xf numFmtId="0" fontId="18" fillId="5" borderId="8" xfId="0" applyFont="1" applyFill="1" applyBorder="1"/>
    <xf numFmtId="0" fontId="18" fillId="5" borderId="7" xfId="0" applyFont="1" applyFill="1" applyBorder="1"/>
    <xf numFmtId="0" fontId="18" fillId="0" borderId="0" xfId="0" applyFont="1" applyFill="1" applyBorder="1"/>
    <xf numFmtId="0" fontId="18" fillId="5" borderId="8" xfId="0" applyFont="1" applyFill="1" applyBorder="1" applyAlignment="1">
      <alignment horizontal="right" vertical="center"/>
    </xf>
    <xf numFmtId="3" fontId="18" fillId="5" borderId="7" xfId="0" applyNumberFormat="1" applyFont="1" applyFill="1" applyBorder="1" applyAlignment="1">
      <alignment horizontal="center" vertical="center"/>
    </xf>
    <xf numFmtId="0" fontId="36" fillId="0" borderId="0" xfId="0" applyFont="1" applyAlignment="1">
      <alignment vertical="center" wrapText="1"/>
    </xf>
    <xf numFmtId="3" fontId="36" fillId="0" borderId="0" xfId="0" applyNumberFormat="1" applyFont="1" applyAlignment="1">
      <alignment horizontal="center" vertical="center" wrapText="1"/>
    </xf>
    <xf numFmtId="165" fontId="36" fillId="0" borderId="0" xfId="0" applyNumberFormat="1" applyFont="1" applyAlignment="1">
      <alignment horizontal="center" vertical="center" wrapText="1"/>
    </xf>
    <xf numFmtId="0" fontId="36" fillId="0" borderId="0" xfId="0" applyNumberFormat="1" applyFont="1" applyAlignment="1">
      <alignment horizontal="center" vertical="center" wrapText="1"/>
    </xf>
    <xf numFmtId="168" fontId="36" fillId="0" borderId="0" xfId="0" applyNumberFormat="1" applyFont="1" applyAlignment="1">
      <alignment horizontal="center" vertical="center" wrapText="1"/>
    </xf>
    <xf numFmtId="0" fontId="18" fillId="0" borderId="0" xfId="0" applyFont="1" applyAlignment="1">
      <alignment horizontal="center" vertical="center"/>
    </xf>
    <xf numFmtId="0" fontId="54" fillId="0" borderId="0" xfId="2" applyFont="1" applyAlignment="1" applyProtection="1">
      <alignment vertical="center" wrapText="1"/>
    </xf>
    <xf numFmtId="0" fontId="18" fillId="0" borderId="0" xfId="0" applyFont="1" applyAlignment="1">
      <alignment horizontal="center" vertical="center" wrapText="1"/>
    </xf>
    <xf numFmtId="3" fontId="18" fillId="0" borderId="0" xfId="0" applyNumberFormat="1" applyFont="1" applyAlignment="1">
      <alignment horizontal="center" wrapText="1"/>
    </xf>
    <xf numFmtId="168" fontId="18" fillId="0" borderId="0" xfId="0" applyNumberFormat="1" applyFont="1" applyAlignment="1">
      <alignment horizontal="center" wrapText="1"/>
    </xf>
    <xf numFmtId="0" fontId="18" fillId="0" borderId="0" xfId="0" applyNumberFormat="1" applyFont="1" applyAlignment="1">
      <alignment horizontal="center" wrapText="1"/>
    </xf>
    <xf numFmtId="0" fontId="18" fillId="0" borderId="0" xfId="0" applyFont="1" applyAlignment="1">
      <alignment wrapText="1"/>
    </xf>
    <xf numFmtId="0" fontId="18" fillId="0" borderId="0" xfId="0" applyFont="1" applyAlignment="1">
      <alignment vertical="center" wrapText="1"/>
    </xf>
    <xf numFmtId="3" fontId="18" fillId="0" borderId="0" xfId="0" applyNumberFormat="1" applyFont="1" applyAlignment="1">
      <alignment horizontal="right" vertical="center"/>
    </xf>
    <xf numFmtId="0" fontId="18" fillId="0" borderId="0" xfId="0" applyFont="1" applyFill="1"/>
    <xf numFmtId="0" fontId="18" fillId="2" borderId="0" xfId="0" applyFont="1" applyFill="1"/>
    <xf numFmtId="0" fontId="18" fillId="2" borderId="0" xfId="0" applyFont="1" applyFill="1" applyAlignment="1">
      <alignment horizontal="center" vertical="center" wrapText="1"/>
    </xf>
    <xf numFmtId="3" fontId="18" fillId="2" borderId="0" xfId="0" applyNumberFormat="1" applyFont="1" applyFill="1" applyAlignment="1">
      <alignment horizontal="center" wrapText="1"/>
    </xf>
    <xf numFmtId="168" fontId="18" fillId="2" borderId="0" xfId="0" applyNumberFormat="1" applyFont="1" applyFill="1" applyAlignment="1">
      <alignment horizontal="center" wrapText="1"/>
    </xf>
    <xf numFmtId="0" fontId="18" fillId="2" borderId="0" xfId="0" applyNumberFormat="1" applyFont="1" applyFill="1" applyAlignment="1">
      <alignment horizontal="center" wrapText="1"/>
    </xf>
    <xf numFmtId="0" fontId="18" fillId="4" borderId="0" xfId="0" applyFont="1" applyFill="1"/>
    <xf numFmtId="0" fontId="18" fillId="4" borderId="0" xfId="0" applyFont="1" applyFill="1" applyAlignment="1">
      <alignment horizontal="center" vertical="center" wrapText="1"/>
    </xf>
    <xf numFmtId="3" fontId="18" fillId="4" borderId="0" xfId="0" applyNumberFormat="1" applyFont="1" applyFill="1" applyAlignment="1">
      <alignment horizontal="center" wrapText="1"/>
    </xf>
    <xf numFmtId="168" fontId="18" fillId="4" borderId="0" xfId="0" applyNumberFormat="1" applyFont="1" applyFill="1" applyAlignment="1">
      <alignment horizontal="center" wrapText="1"/>
    </xf>
    <xf numFmtId="0" fontId="18" fillId="4" borderId="0" xfId="0" applyNumberFormat="1" applyFont="1" applyFill="1" applyAlignment="1">
      <alignment horizontal="center" wrapText="1"/>
    </xf>
    <xf numFmtId="0" fontId="54" fillId="4" borderId="0" xfId="2" applyFont="1" applyFill="1" applyAlignment="1" applyProtection="1">
      <alignment vertical="center" wrapText="1"/>
    </xf>
    <xf numFmtId="0" fontId="18" fillId="4" borderId="0" xfId="0" applyFont="1" applyFill="1" applyAlignment="1">
      <alignment vertical="center" wrapText="1"/>
    </xf>
    <xf numFmtId="0" fontId="18" fillId="0" borderId="0" xfId="0" applyFont="1" applyAlignment="1">
      <alignment horizontal="center" wrapText="1"/>
    </xf>
    <xf numFmtId="0" fontId="18" fillId="0" borderId="0" xfId="0" applyFont="1" applyAlignment="1">
      <alignment vertical="center"/>
    </xf>
    <xf numFmtId="0" fontId="18" fillId="0" borderId="0" xfId="0" applyFont="1" applyAlignment="1">
      <alignment horizontal="center"/>
    </xf>
    <xf numFmtId="3" fontId="18" fillId="0" borderId="0" xfId="0" applyNumberFormat="1" applyFont="1" applyAlignment="1">
      <alignment horizontal="center"/>
    </xf>
    <xf numFmtId="165" fontId="18" fillId="0" borderId="0" xfId="0" applyNumberFormat="1" applyFont="1" applyAlignment="1">
      <alignment horizontal="center"/>
    </xf>
    <xf numFmtId="0" fontId="18" fillId="0" borderId="0" xfId="0" applyNumberFormat="1" applyFont="1" applyAlignment="1">
      <alignment horizontal="center"/>
    </xf>
    <xf numFmtId="168" fontId="18" fillId="0" borderId="0" xfId="0" applyNumberFormat="1" applyFont="1" applyAlignment="1">
      <alignment horizontal="center"/>
    </xf>
    <xf numFmtId="0" fontId="36" fillId="0" borderId="22" xfId="0" applyFont="1" applyBorder="1" applyAlignment="1">
      <alignment horizontal="center" vertical="center"/>
    </xf>
    <xf numFmtId="3" fontId="36" fillId="4" borderId="35" xfId="0" applyNumberFormat="1" applyFont="1" applyFill="1" applyBorder="1" applyAlignment="1">
      <alignment horizontal="center" vertical="center"/>
    </xf>
    <xf numFmtId="165" fontId="18" fillId="0" borderId="18" xfId="0" applyNumberFormat="1" applyFont="1" applyBorder="1" applyAlignment="1">
      <alignment horizontal="center" vertical="center"/>
    </xf>
    <xf numFmtId="4" fontId="18" fillId="0" borderId="36" xfId="0" applyNumberFormat="1" applyFont="1" applyBorder="1" applyAlignment="1">
      <alignment horizontal="center" vertical="center"/>
    </xf>
    <xf numFmtId="49" fontId="18" fillId="0" borderId="9" xfId="0" applyNumberFormat="1" applyFont="1" applyBorder="1" applyAlignment="1">
      <alignment horizontal="center" vertical="center"/>
    </xf>
    <xf numFmtId="169" fontId="18" fillId="5" borderId="27" xfId="0" applyNumberFormat="1" applyFont="1" applyFill="1" applyBorder="1" applyAlignment="1">
      <alignment horizontal="center" vertical="center"/>
    </xf>
    <xf numFmtId="169" fontId="18" fillId="5" borderId="19" xfId="0" applyNumberFormat="1" applyFont="1" applyFill="1" applyBorder="1" applyAlignment="1">
      <alignment horizontal="center" vertical="center"/>
    </xf>
    <xf numFmtId="169" fontId="18" fillId="5" borderId="19" xfId="0" applyNumberFormat="1" applyFont="1" applyFill="1" applyBorder="1"/>
    <xf numFmtId="0" fontId="17" fillId="0" borderId="8" xfId="0" applyFont="1" applyBorder="1" applyAlignment="1">
      <alignment vertical="center"/>
    </xf>
    <xf numFmtId="0" fontId="23" fillId="0" borderId="0" xfId="0" applyFont="1" applyAlignment="1">
      <alignment horizontal="center" vertical="center"/>
    </xf>
    <xf numFmtId="0" fontId="33" fillId="0" borderId="51" xfId="1" applyFont="1" applyBorder="1" applyAlignment="1">
      <alignment horizontal="center" vertical="center" wrapText="1" shrinkToFit="1"/>
    </xf>
    <xf numFmtId="0" fontId="24" fillId="0" borderId="51" xfId="0" applyFont="1" applyBorder="1" applyAlignment="1">
      <alignment horizontal="center" vertical="center"/>
    </xf>
    <xf numFmtId="0" fontId="36" fillId="0" borderId="51" xfId="0" applyFont="1" applyBorder="1" applyAlignment="1">
      <alignment horizontal="center" vertical="center" wrapText="1"/>
    </xf>
    <xf numFmtId="0" fontId="16" fillId="0" borderId="8" xfId="0" applyFont="1" applyBorder="1" applyAlignment="1">
      <alignment vertical="center"/>
    </xf>
    <xf numFmtId="49" fontId="16" fillId="0" borderId="8" xfId="0" applyNumberFormat="1" applyFont="1" applyBorder="1" applyAlignment="1">
      <alignment vertical="center"/>
    </xf>
    <xf numFmtId="49" fontId="16" fillId="0" borderId="8" xfId="0" quotePrefix="1" applyNumberFormat="1" applyFont="1" applyBorder="1" applyAlignment="1">
      <alignment vertical="center"/>
    </xf>
    <xf numFmtId="0" fontId="16" fillId="0" borderId="8" xfId="0" quotePrefix="1" applyFont="1" applyBorder="1" applyAlignment="1">
      <alignment vertical="center"/>
    </xf>
    <xf numFmtId="0" fontId="32" fillId="0" borderId="0" xfId="1" applyFont="1" applyBorder="1" applyAlignment="1" applyProtection="1">
      <alignment horizontal="left" vertical="center" wrapText="1"/>
      <protection locked="0"/>
    </xf>
    <xf numFmtId="0" fontId="32" fillId="7" borderId="66" xfId="1" applyFont="1" applyFill="1" applyBorder="1" applyAlignment="1" applyProtection="1">
      <alignment horizontal="center" vertical="center"/>
      <protection locked="0"/>
    </xf>
    <xf numFmtId="49" fontId="32" fillId="2" borderId="67" xfId="1" applyNumberFormat="1" applyFont="1" applyFill="1" applyBorder="1" applyAlignment="1" applyProtection="1">
      <alignment horizontal="center" vertical="center"/>
      <protection locked="0"/>
    </xf>
    <xf numFmtId="0" fontId="32" fillId="7" borderId="67" xfId="1" applyFont="1" applyFill="1" applyBorder="1" applyAlignment="1" applyProtection="1">
      <alignment horizontal="center" vertical="center"/>
      <protection locked="0"/>
    </xf>
    <xf numFmtId="0" fontId="32" fillId="2" borderId="67" xfId="1" applyFont="1" applyFill="1" applyBorder="1" applyAlignment="1" applyProtection="1">
      <alignment horizontal="center" vertical="center"/>
      <protection locked="0"/>
    </xf>
    <xf numFmtId="0" fontId="11" fillId="0" borderId="8" xfId="0" applyFont="1" applyBorder="1" applyAlignment="1">
      <alignment horizontal="left" vertical="center"/>
    </xf>
    <xf numFmtId="0" fontId="11" fillId="0" borderId="8" xfId="0" applyFont="1" applyBorder="1" applyAlignment="1">
      <alignment vertical="center"/>
    </xf>
    <xf numFmtId="0" fontId="11" fillId="0" borderId="0" xfId="0" applyFont="1" applyAlignment="1">
      <alignment horizontal="center" vertical="center"/>
    </xf>
    <xf numFmtId="0" fontId="11" fillId="0" borderId="2" xfId="0" applyFont="1" applyBorder="1" applyAlignment="1">
      <alignment horizontal="center" vertical="center"/>
    </xf>
    <xf numFmtId="164" fontId="32" fillId="0" borderId="0" xfId="1" applyNumberFormat="1" applyFont="1" applyBorder="1" applyAlignment="1" applyProtection="1">
      <alignment horizontal="left" vertical="center"/>
    </xf>
    <xf numFmtId="0" fontId="12" fillId="0" borderId="0" xfId="0" applyFont="1" applyBorder="1" applyAlignment="1" applyProtection="1">
      <alignment horizontal="center" vertical="center"/>
    </xf>
    <xf numFmtId="0" fontId="33" fillId="0" borderId="4" xfId="1" applyFont="1" applyBorder="1" applyAlignment="1">
      <alignment horizontal="center" vertical="center" wrapText="1" shrinkToFit="1"/>
    </xf>
    <xf numFmtId="168" fontId="33" fillId="0" borderId="4" xfId="0" applyNumberFormat="1" applyFont="1" applyBorder="1" applyAlignment="1">
      <alignment horizontal="center" vertical="center" wrapText="1" shrinkToFit="1"/>
    </xf>
    <xf numFmtId="0" fontId="10" fillId="0" borderId="8" xfId="0" applyFont="1" applyBorder="1" applyAlignment="1">
      <alignment horizontal="center" vertical="center"/>
    </xf>
    <xf numFmtId="0" fontId="31" fillId="0" borderId="0" xfId="0" applyFont="1" applyAlignment="1" applyProtection="1">
      <alignment vertical="center"/>
    </xf>
    <xf numFmtId="173" fontId="32" fillId="4" borderId="45" xfId="1" applyNumberFormat="1" applyFont="1" applyFill="1" applyBorder="1" applyAlignment="1" applyProtection="1">
      <alignment horizontal="center" vertical="center"/>
    </xf>
    <xf numFmtId="0" fontId="31" fillId="0" borderId="0" xfId="0" applyFont="1" applyAlignment="1" applyProtection="1">
      <alignment horizontal="center" vertical="center"/>
    </xf>
    <xf numFmtId="0" fontId="36" fillId="0" borderId="8" xfId="0" applyFont="1" applyBorder="1" applyAlignment="1" applyProtection="1">
      <alignment horizontal="center" vertical="center"/>
    </xf>
    <xf numFmtId="0" fontId="31" fillId="0" borderId="0" xfId="0" applyFont="1" applyAlignment="1" applyProtection="1">
      <alignment horizontal="left" vertical="center"/>
    </xf>
    <xf numFmtId="14" fontId="31" fillId="0" borderId="46" xfId="0" applyNumberFormat="1" applyFont="1" applyBorder="1" applyAlignment="1" applyProtection="1">
      <alignment horizontal="center" vertical="center"/>
    </xf>
    <xf numFmtId="0" fontId="22" fillId="0" borderId="37" xfId="0" applyFont="1" applyBorder="1" applyAlignment="1" applyProtection="1">
      <alignment horizontal="center" vertical="center"/>
    </xf>
    <xf numFmtId="0" fontId="36" fillId="0" borderId="38" xfId="0" applyFont="1" applyBorder="1" applyAlignment="1" applyProtection="1">
      <alignment horizontal="center" vertical="center"/>
    </xf>
    <xf numFmtId="0" fontId="31" fillId="0" borderId="18" xfId="0" applyFont="1" applyBorder="1" applyAlignment="1" applyProtection="1">
      <alignment horizontal="center" vertical="center"/>
    </xf>
    <xf numFmtId="0" fontId="33" fillId="4" borderId="0" xfId="1" applyFont="1" applyFill="1" applyBorder="1" applyAlignment="1" applyProtection="1">
      <alignment vertical="center"/>
    </xf>
    <xf numFmtId="0" fontId="33" fillId="0" borderId="69" xfId="1" applyFont="1" applyFill="1" applyBorder="1" applyAlignment="1" applyProtection="1">
      <alignment horizontal="left" vertical="center"/>
    </xf>
    <xf numFmtId="0" fontId="22" fillId="0" borderId="1" xfId="0" applyFont="1" applyBorder="1" applyAlignment="1" applyProtection="1">
      <alignment horizontal="center" vertical="center"/>
    </xf>
    <xf numFmtId="0" fontId="36" fillId="0" borderId="2" xfId="0" applyFont="1" applyBorder="1" applyAlignment="1" applyProtection="1">
      <alignment horizontal="center" vertical="center"/>
    </xf>
    <xf numFmtId="0" fontId="31" fillId="0" borderId="3" xfId="0" applyFont="1" applyBorder="1" applyAlignment="1" applyProtection="1">
      <alignment horizontal="center" vertical="center"/>
    </xf>
    <xf numFmtId="0" fontId="32" fillId="4" borderId="0" xfId="1" applyFont="1" applyFill="1" applyBorder="1" applyAlignment="1" applyProtection="1">
      <alignment vertical="center"/>
    </xf>
    <xf numFmtId="172" fontId="32" fillId="0" borderId="0" xfId="1" applyNumberFormat="1" applyFont="1" applyBorder="1" applyAlignment="1" applyProtection="1">
      <alignment horizontal="left" vertical="center"/>
    </xf>
    <xf numFmtId="49" fontId="33" fillId="0" borderId="70" xfId="1" applyNumberFormat="1" applyFont="1" applyFill="1" applyBorder="1" applyAlignment="1" applyProtection="1">
      <alignment horizontal="left" vertical="center"/>
    </xf>
    <xf numFmtId="0" fontId="33" fillId="0" borderId="70" xfId="1" applyFont="1" applyFill="1" applyBorder="1" applyAlignment="1" applyProtection="1">
      <alignment horizontal="left" vertical="center"/>
    </xf>
    <xf numFmtId="0" fontId="31" fillId="0" borderId="25" xfId="0" applyFont="1" applyBorder="1" applyAlignment="1" applyProtection="1">
      <alignment horizontal="center" vertical="center"/>
    </xf>
    <xf numFmtId="0" fontId="31" fillId="0" borderId="27" xfId="0" applyFont="1" applyBorder="1" applyAlignment="1" applyProtection="1">
      <alignment horizontal="center" vertical="center"/>
    </xf>
    <xf numFmtId="0" fontId="31" fillId="0" borderId="9" xfId="0" applyFont="1" applyBorder="1" applyAlignment="1" applyProtection="1">
      <alignment horizontal="center" vertical="center"/>
    </xf>
    <xf numFmtId="175" fontId="31" fillId="0" borderId="0" xfId="0" applyNumberFormat="1" applyFont="1" applyAlignment="1" applyProtection="1">
      <alignment horizontal="center" vertical="center"/>
    </xf>
    <xf numFmtId="175" fontId="36" fillId="0" borderId="0" xfId="0" applyNumberFormat="1" applyFont="1" applyAlignment="1" applyProtection="1">
      <alignment horizontal="center" vertical="center"/>
    </xf>
    <xf numFmtId="0" fontId="31" fillId="0" borderId="39" xfId="0" applyFont="1" applyBorder="1" applyAlignment="1" applyProtection="1">
      <alignment horizontal="center" vertical="center"/>
    </xf>
    <xf numFmtId="0" fontId="36" fillId="0" borderId="71" xfId="0" applyFont="1" applyBorder="1" applyAlignment="1" applyProtection="1">
      <alignment horizontal="left" vertical="center"/>
    </xf>
    <xf numFmtId="0" fontId="36" fillId="0" borderId="7" xfId="0" applyFont="1" applyBorder="1" applyAlignment="1" applyProtection="1">
      <alignment horizontal="center" vertical="center"/>
    </xf>
    <xf numFmtId="0" fontId="36" fillId="0" borderId="19" xfId="0" applyFont="1" applyBorder="1" applyAlignment="1" applyProtection="1">
      <alignment vertical="center"/>
    </xf>
    <xf numFmtId="0" fontId="29" fillId="0" borderId="18" xfId="0" applyFont="1" applyBorder="1" applyAlignment="1" applyProtection="1">
      <alignment horizontal="left" vertical="center"/>
    </xf>
    <xf numFmtId="0" fontId="19" fillId="0" borderId="3" xfId="0" applyFont="1" applyBorder="1" applyAlignment="1" applyProtection="1">
      <alignment horizontal="center" vertical="center"/>
    </xf>
    <xf numFmtId="0" fontId="40" fillId="0" borderId="18" xfId="0" applyFont="1" applyBorder="1" applyAlignment="1" applyProtection="1">
      <alignment horizontal="center" vertical="center"/>
    </xf>
    <xf numFmtId="0" fontId="31" fillId="0" borderId="0" xfId="0" applyFont="1" applyBorder="1" applyAlignment="1" applyProtection="1">
      <alignment horizontal="center" vertical="center"/>
    </xf>
    <xf numFmtId="0" fontId="31" fillId="0" borderId="3" xfId="0" applyFont="1" applyBorder="1" applyAlignment="1" applyProtection="1">
      <alignment horizontal="left" vertical="center"/>
    </xf>
    <xf numFmtId="0" fontId="40" fillId="0" borderId="3" xfId="0" applyFont="1" applyBorder="1" applyAlignment="1" applyProtection="1">
      <alignment horizontal="center" vertical="center"/>
    </xf>
    <xf numFmtId="0" fontId="47" fillId="4" borderId="0" xfId="1" applyFont="1" applyFill="1" applyAlignment="1" applyProtection="1">
      <alignment vertical="center"/>
    </xf>
    <xf numFmtId="0" fontId="17" fillId="0" borderId="0" xfId="0" applyFont="1" applyAlignment="1" applyProtection="1">
      <alignment vertical="center"/>
    </xf>
    <xf numFmtId="0" fontId="10" fillId="0" borderId="0" xfId="0" applyFont="1" applyBorder="1" applyAlignment="1" applyProtection="1">
      <alignment horizontal="center" vertical="center"/>
    </xf>
    <xf numFmtId="0" fontId="21" fillId="0" borderId="3" xfId="0" applyFont="1" applyBorder="1" applyAlignment="1" applyProtection="1">
      <alignment horizontal="left" vertical="center"/>
    </xf>
    <xf numFmtId="0" fontId="20" fillId="0" borderId="3" xfId="0" applyFont="1" applyBorder="1" applyAlignment="1" applyProtection="1">
      <alignment horizontal="center" vertical="center"/>
    </xf>
    <xf numFmtId="0" fontId="36" fillId="0" borderId="3" xfId="0" applyFont="1" applyBorder="1" applyAlignment="1" applyProtection="1">
      <alignment horizontal="center" vertical="center"/>
    </xf>
    <xf numFmtId="0" fontId="11" fillId="0" borderId="0" xfId="0" applyFont="1" applyFill="1" applyAlignment="1" applyProtection="1">
      <alignment vertical="center"/>
    </xf>
    <xf numFmtId="0" fontId="46" fillId="0" borderId="3" xfId="0" applyFont="1" applyBorder="1" applyAlignment="1" applyProtection="1">
      <alignment horizontal="center" vertical="center"/>
    </xf>
    <xf numFmtId="0" fontId="33" fillId="4" borderId="0" xfId="1" applyFont="1" applyFill="1" applyBorder="1" applyAlignment="1" applyProtection="1">
      <alignment horizontal="left" vertical="center"/>
    </xf>
    <xf numFmtId="0" fontId="20" fillId="0" borderId="3" xfId="0" applyFont="1" applyBorder="1" applyAlignment="1" applyProtection="1">
      <alignment horizontal="left" vertical="center"/>
    </xf>
    <xf numFmtId="0" fontId="35" fillId="0" borderId="0" xfId="1" applyFont="1" applyAlignment="1" applyProtection="1">
      <alignment horizontal="right" vertical="center"/>
    </xf>
    <xf numFmtId="0" fontId="13" fillId="0" borderId="51" xfId="0" applyFont="1" applyBorder="1" applyAlignment="1" applyProtection="1">
      <alignment horizontal="center" vertical="center"/>
    </xf>
    <xf numFmtId="0" fontId="20" fillId="0" borderId="9" xfId="0" applyFont="1" applyBorder="1" applyAlignment="1" applyProtection="1">
      <alignment horizontal="left" vertical="center"/>
    </xf>
    <xf numFmtId="0" fontId="20" fillId="0" borderId="9" xfId="0" applyFont="1" applyBorder="1" applyAlignment="1" applyProtection="1">
      <alignment horizontal="center" vertical="center"/>
    </xf>
    <xf numFmtId="0" fontId="36" fillId="0" borderId="9" xfId="0" applyFont="1" applyBorder="1" applyAlignment="1" applyProtection="1">
      <alignment horizontal="center" vertical="center"/>
    </xf>
    <xf numFmtId="0" fontId="0" fillId="0" borderId="0" xfId="0" applyProtection="1"/>
    <xf numFmtId="0" fontId="35" fillId="0" borderId="0" xfId="1" applyFont="1" applyAlignment="1" applyProtection="1">
      <alignment vertical="center"/>
    </xf>
    <xf numFmtId="169" fontId="31" fillId="0" borderId="0" xfId="0" applyNumberFormat="1" applyFont="1" applyBorder="1" applyAlignment="1" applyProtection="1">
      <alignment horizontal="center" vertical="center"/>
    </xf>
    <xf numFmtId="0" fontId="20" fillId="0" borderId="43" xfId="0" applyFont="1" applyBorder="1" applyAlignment="1" applyProtection="1">
      <alignment horizontal="left" vertical="center"/>
    </xf>
    <xf numFmtId="0" fontId="20" fillId="0" borderId="43" xfId="0" applyFont="1" applyBorder="1" applyAlignment="1" applyProtection="1">
      <alignment horizontal="center" vertical="center"/>
    </xf>
    <xf numFmtId="0" fontId="36" fillId="0" borderId="43" xfId="0" applyFont="1" applyBorder="1" applyAlignment="1" applyProtection="1">
      <alignment horizontal="center" vertical="center"/>
    </xf>
    <xf numFmtId="0" fontId="34" fillId="0" borderId="13" xfId="1" applyFont="1" applyBorder="1" applyAlignment="1" applyProtection="1">
      <alignment horizontal="center" vertical="center" wrapText="1" shrinkToFit="1"/>
    </xf>
    <xf numFmtId="0" fontId="33" fillId="0" borderId="30" xfId="1" applyFont="1" applyBorder="1" applyAlignment="1" applyProtection="1">
      <alignment horizontal="center" vertical="center" wrapText="1" shrinkToFit="1"/>
    </xf>
    <xf numFmtId="0" fontId="33" fillId="0" borderId="10" xfId="1" applyFont="1" applyBorder="1" applyAlignment="1" applyProtection="1">
      <alignment horizontal="center" vertical="center" wrapText="1" shrinkToFit="1"/>
    </xf>
    <xf numFmtId="168" fontId="33" fillId="0" borderId="10" xfId="0" applyNumberFormat="1" applyFont="1" applyBorder="1" applyAlignment="1" applyProtection="1">
      <alignment horizontal="center" vertical="center" wrapText="1" shrinkToFit="1"/>
    </xf>
    <xf numFmtId="0" fontId="35" fillId="0" borderId="4" xfId="1" applyFont="1" applyBorder="1" applyAlignment="1" applyProtection="1">
      <alignment horizontal="center" vertical="center" wrapText="1" shrinkToFit="1"/>
    </xf>
    <xf numFmtId="0" fontId="35" fillId="0" borderId="16" xfId="1" applyFont="1" applyBorder="1" applyAlignment="1" applyProtection="1">
      <alignment horizontal="center" vertical="center" wrapText="1" shrinkToFit="1"/>
    </xf>
    <xf numFmtId="0" fontId="35" fillId="0" borderId="0" xfId="1" applyFont="1" applyBorder="1" applyAlignment="1" applyProtection="1">
      <alignment horizontal="center" vertical="center" wrapText="1" shrinkToFit="1"/>
    </xf>
    <xf numFmtId="0" fontId="0" fillId="0" borderId="0" xfId="0" applyAlignment="1" applyProtection="1">
      <alignment horizontal="center" vertical="center"/>
    </xf>
    <xf numFmtId="0" fontId="31" fillId="0" borderId="57" xfId="0" applyFont="1" applyBorder="1" applyAlignment="1" applyProtection="1">
      <alignment horizontal="center" vertical="center"/>
    </xf>
    <xf numFmtId="0" fontId="32" fillId="0" borderId="0" xfId="1" applyFont="1" applyBorder="1" applyAlignment="1" applyProtection="1">
      <alignment horizontal="left" vertical="center" wrapText="1"/>
    </xf>
    <xf numFmtId="3" fontId="32" fillId="0" borderId="3" xfId="1" applyNumberFormat="1" applyFont="1" applyBorder="1" applyAlignment="1" applyProtection="1">
      <alignment horizontal="center" vertical="center" wrapText="1"/>
    </xf>
    <xf numFmtId="168" fontId="32" fillId="0" borderId="3" xfId="1" applyNumberFormat="1" applyFont="1" applyBorder="1" applyAlignment="1" applyProtection="1">
      <alignment horizontal="center" vertical="center" wrapText="1"/>
    </xf>
    <xf numFmtId="166" fontId="31" fillId="0" borderId="0" xfId="0" applyNumberFormat="1" applyFont="1" applyAlignment="1" applyProtection="1">
      <alignment horizontal="center" vertical="center"/>
    </xf>
    <xf numFmtId="0" fontId="40" fillId="0" borderId="0" xfId="0" applyFont="1" applyAlignment="1" applyProtection="1">
      <alignment horizontal="center" vertical="center"/>
    </xf>
    <xf numFmtId="168" fontId="31" fillId="0" borderId="0" xfId="0" applyNumberFormat="1" applyFont="1" applyAlignment="1" applyProtection="1">
      <alignment vertical="center"/>
    </xf>
    <xf numFmtId="0" fontId="11" fillId="0" borderId="0" xfId="0" applyFont="1" applyAlignment="1" applyProtection="1">
      <alignment horizontal="center" vertical="center"/>
    </xf>
    <xf numFmtId="0" fontId="36" fillId="4" borderId="0" xfId="0" applyFont="1" applyFill="1" applyBorder="1" applyAlignment="1" applyProtection="1">
      <alignment horizontal="left" vertical="center"/>
    </xf>
    <xf numFmtId="175" fontId="11" fillId="0" borderId="51" xfId="0" applyNumberFormat="1" applyFont="1" applyBorder="1" applyAlignment="1" applyProtection="1">
      <alignment vertical="center"/>
    </xf>
    <xf numFmtId="166" fontId="36" fillId="4" borderId="1" xfId="0" applyNumberFormat="1" applyFont="1" applyFill="1" applyBorder="1" applyAlignment="1" applyProtection="1">
      <alignment horizontal="left" vertical="center"/>
    </xf>
    <xf numFmtId="0" fontId="11" fillId="0" borderId="51" xfId="0" applyFont="1" applyBorder="1" applyAlignment="1" applyProtection="1">
      <alignment vertical="center"/>
    </xf>
    <xf numFmtId="167" fontId="32" fillId="0" borderId="0" xfId="1" applyNumberFormat="1" applyFont="1" applyFill="1" applyBorder="1" applyAlignment="1" applyProtection="1">
      <alignment horizontal="center" vertical="center" wrapText="1"/>
    </xf>
    <xf numFmtId="0" fontId="31" fillId="0" borderId="0" xfId="0" applyFont="1" applyBorder="1" applyAlignment="1" applyProtection="1">
      <alignment vertical="center"/>
    </xf>
    <xf numFmtId="0" fontId="31" fillId="4" borderId="0" xfId="0" applyFont="1" applyFill="1" applyAlignment="1" applyProtection="1">
      <alignment horizontal="center" vertical="center"/>
    </xf>
    <xf numFmtId="0" fontId="14" fillId="0" borderId="0" xfId="0" applyFont="1" applyAlignment="1" applyProtection="1">
      <alignment vertical="center"/>
    </xf>
    <xf numFmtId="0" fontId="11" fillId="0" borderId="0" xfId="0" applyFont="1" applyAlignment="1" applyProtection="1">
      <alignment vertical="center"/>
    </xf>
    <xf numFmtId="168" fontId="32" fillId="0" borderId="14" xfId="1" applyNumberFormat="1" applyFont="1" applyBorder="1" applyAlignment="1" applyProtection="1">
      <alignment vertical="center"/>
    </xf>
    <xf numFmtId="0" fontId="32" fillId="0" borderId="15" xfId="1" applyFont="1" applyBorder="1" applyAlignment="1" applyProtection="1">
      <alignment vertical="center"/>
    </xf>
    <xf numFmtId="165" fontId="33" fillId="0" borderId="15" xfId="1" applyNumberFormat="1" applyFont="1" applyBorder="1" applyAlignment="1" applyProtection="1">
      <alignment horizontal="center" vertical="center"/>
    </xf>
    <xf numFmtId="169" fontId="33" fillId="0" borderId="15" xfId="1" applyNumberFormat="1" applyFont="1" applyBorder="1" applyAlignment="1" applyProtection="1">
      <alignment vertical="center"/>
    </xf>
    <xf numFmtId="167" fontId="35" fillId="0" borderId="0" xfId="1" applyNumberFormat="1" applyFont="1" applyBorder="1" applyAlignment="1" applyProtection="1">
      <alignment horizontal="center" vertical="center"/>
    </xf>
    <xf numFmtId="168" fontId="31" fillId="0" borderId="0" xfId="0" applyNumberFormat="1" applyFont="1" applyAlignment="1" applyProtection="1">
      <alignment horizontal="left" vertical="center"/>
    </xf>
    <xf numFmtId="0" fontId="32" fillId="0" borderId="0" xfId="1" applyFont="1" applyBorder="1" applyAlignment="1" applyProtection="1">
      <alignment horizontal="left" vertical="center"/>
    </xf>
    <xf numFmtId="165" fontId="33" fillId="0" borderId="0" xfId="1" applyNumberFormat="1" applyFont="1" applyBorder="1" applyAlignment="1" applyProtection="1">
      <alignment horizontal="center" vertical="center"/>
    </xf>
    <xf numFmtId="169" fontId="33" fillId="0" borderId="0" xfId="1" applyNumberFormat="1" applyFont="1" applyBorder="1" applyAlignment="1" applyProtection="1">
      <alignment horizontal="right" vertical="center"/>
    </xf>
    <xf numFmtId="176" fontId="35" fillId="0" borderId="0" xfId="1" applyNumberFormat="1" applyFont="1" applyBorder="1" applyAlignment="1" applyProtection="1">
      <alignment horizontal="center" vertical="center"/>
    </xf>
    <xf numFmtId="0" fontId="24" fillId="0" borderId="0" xfId="0" applyFont="1" applyAlignment="1" applyProtection="1">
      <alignment horizontal="center" vertical="center"/>
    </xf>
    <xf numFmtId="168" fontId="32" fillId="0" borderId="0" xfId="1" applyNumberFormat="1" applyFont="1" applyBorder="1" applyAlignment="1" applyProtection="1">
      <alignment horizontal="left" vertical="center"/>
    </xf>
    <xf numFmtId="167" fontId="31" fillId="0" borderId="0" xfId="0" applyNumberFormat="1" applyFont="1" applyAlignment="1" applyProtection="1">
      <alignment vertical="center"/>
    </xf>
    <xf numFmtId="0" fontId="32" fillId="0" borderId="51" xfId="1" applyFont="1" applyBorder="1" applyAlignment="1" applyProtection="1">
      <alignment vertical="center"/>
    </xf>
    <xf numFmtId="168" fontId="33" fillId="0" borderId="51" xfId="1" applyNumberFormat="1" applyFont="1" applyBorder="1" applyAlignment="1" applyProtection="1">
      <alignment horizontal="center" vertical="center"/>
    </xf>
    <xf numFmtId="167" fontId="31" fillId="0" borderId="0" xfId="0" applyNumberFormat="1" applyFont="1" applyBorder="1" applyAlignment="1" applyProtection="1">
      <alignment vertical="center"/>
    </xf>
    <xf numFmtId="0" fontId="32" fillId="0" borderId="51" xfId="1" applyFont="1" applyFill="1" applyBorder="1" applyAlignment="1" applyProtection="1">
      <alignment vertical="center"/>
    </xf>
    <xf numFmtId="0" fontId="36" fillId="0" borderId="51" xfId="3" applyNumberFormat="1" applyFont="1" applyBorder="1" applyAlignment="1" applyProtection="1">
      <alignment horizontal="center" vertical="center"/>
    </xf>
    <xf numFmtId="0" fontId="43" fillId="0" borderId="0" xfId="0" applyFont="1" applyBorder="1" applyAlignment="1" applyProtection="1">
      <alignment vertical="center"/>
    </xf>
    <xf numFmtId="0" fontId="15" fillId="0" borderId="51" xfId="0" applyFont="1" applyBorder="1" applyAlignment="1" applyProtection="1">
      <alignment horizontal="left" vertical="center"/>
    </xf>
    <xf numFmtId="0" fontId="16" fillId="0" borderId="51" xfId="0" applyFont="1" applyBorder="1" applyAlignment="1" applyProtection="1">
      <alignment vertical="center"/>
    </xf>
    <xf numFmtId="0" fontId="36" fillId="0" borderId="51" xfId="0" applyFont="1" applyBorder="1" applyAlignment="1" applyProtection="1">
      <alignment horizontal="center" vertical="center"/>
    </xf>
    <xf numFmtId="0" fontId="31" fillId="0" borderId="1" xfId="0" applyFont="1" applyBorder="1" applyAlignment="1" applyProtection="1">
      <alignment vertical="center"/>
    </xf>
    <xf numFmtId="0" fontId="43" fillId="0" borderId="43" xfId="0" applyFont="1" applyBorder="1" applyAlignment="1" applyProtection="1">
      <alignment vertical="center"/>
    </xf>
    <xf numFmtId="0" fontId="30" fillId="0" borderId="0" xfId="0" applyFont="1" applyAlignment="1" applyProtection="1">
      <alignment vertical="center"/>
    </xf>
    <xf numFmtId="0" fontId="30" fillId="0" borderId="0" xfId="0" applyFont="1" applyAlignment="1" applyProtection="1">
      <alignment horizontal="left" vertical="center"/>
    </xf>
    <xf numFmtId="0" fontId="30" fillId="0" borderId="0" xfId="0" applyFont="1" applyBorder="1" applyAlignment="1" applyProtection="1">
      <alignment vertical="center"/>
    </xf>
    <xf numFmtId="0" fontId="18" fillId="0" borderId="0" xfId="0" applyFont="1" applyAlignment="1" applyProtection="1">
      <alignment horizontal="left" vertical="center"/>
    </xf>
    <xf numFmtId="0" fontId="16" fillId="0" borderId="0" xfId="0" applyFont="1" applyAlignment="1" applyProtection="1">
      <alignment vertical="center"/>
    </xf>
    <xf numFmtId="0" fontId="16" fillId="0" borderId="0" xfId="0" applyFont="1" applyAlignment="1" applyProtection="1">
      <alignment horizontal="right" vertical="center"/>
    </xf>
    <xf numFmtId="0" fontId="36" fillId="0" borderId="0" xfId="0" applyFont="1" applyAlignment="1" applyProtection="1">
      <alignment horizontal="center" vertical="center"/>
    </xf>
    <xf numFmtId="0" fontId="16" fillId="0" borderId="0" xfId="0" applyFont="1" applyAlignment="1" applyProtection="1">
      <alignment horizontal="center" vertical="center"/>
    </xf>
    <xf numFmtId="0" fontId="44" fillId="0" borderId="0" xfId="0" applyFont="1" applyAlignment="1" applyProtection="1">
      <alignment vertical="center"/>
    </xf>
    <xf numFmtId="0" fontId="44" fillId="0" borderId="0" xfId="0" applyFont="1" applyAlignment="1" applyProtection="1">
      <alignment horizontal="center" vertical="center"/>
    </xf>
    <xf numFmtId="168" fontId="16" fillId="0" borderId="0" xfId="0" applyNumberFormat="1" applyFont="1" applyAlignment="1" applyProtection="1">
      <alignment vertical="center"/>
    </xf>
    <xf numFmtId="168" fontId="16" fillId="0" borderId="0" xfId="0" applyNumberFormat="1" applyFont="1" applyAlignment="1" applyProtection="1">
      <alignment horizontal="center" vertical="center"/>
    </xf>
    <xf numFmtId="0" fontId="35" fillId="0" borderId="12" xfId="0" applyFont="1" applyBorder="1" applyAlignment="1" applyProtection="1">
      <alignment vertical="center"/>
    </xf>
    <xf numFmtId="0" fontId="35" fillId="0" borderId="52" xfId="0" applyFont="1" applyBorder="1" applyAlignment="1" applyProtection="1">
      <alignment vertical="center"/>
    </xf>
    <xf numFmtId="0" fontId="35" fillId="0" borderId="17" xfId="0" applyFont="1" applyBorder="1" applyAlignment="1" applyProtection="1">
      <alignment vertical="center"/>
    </xf>
    <xf numFmtId="0" fontId="33" fillId="0" borderId="60" xfId="0" applyFont="1" applyFill="1" applyBorder="1" applyAlignment="1" applyProtection="1">
      <alignment vertical="center"/>
    </xf>
    <xf numFmtId="0" fontId="33" fillId="0" borderId="52" xfId="0" applyFont="1" applyFill="1" applyBorder="1" applyAlignment="1" applyProtection="1">
      <alignment vertical="center"/>
    </xf>
    <xf numFmtId="0" fontId="33" fillId="0" borderId="61" xfId="0" applyFont="1" applyFill="1" applyBorder="1" applyAlignment="1" applyProtection="1">
      <alignment vertical="center"/>
    </xf>
    <xf numFmtId="0" fontId="15" fillId="0" borderId="18" xfId="0" applyFont="1" applyBorder="1" applyAlignment="1" applyProtection="1">
      <alignment horizontal="center" vertical="center"/>
    </xf>
    <xf numFmtId="49" fontId="16" fillId="0" borderId="0" xfId="0" applyNumberFormat="1" applyFont="1" applyAlignment="1" applyProtection="1">
      <alignment horizontal="center" vertical="center"/>
    </xf>
    <xf numFmtId="0" fontId="32" fillId="0" borderId="11" xfId="1" applyFont="1" applyFill="1" applyBorder="1" applyAlignment="1" applyProtection="1">
      <alignment vertical="center"/>
    </xf>
    <xf numFmtId="0" fontId="32" fillId="0" borderId="0" xfId="1" applyFont="1" applyFill="1" applyBorder="1" applyAlignment="1" applyProtection="1">
      <alignment vertical="center"/>
    </xf>
    <xf numFmtId="0" fontId="32" fillId="0" borderId="2" xfId="1" applyFont="1" applyFill="1" applyBorder="1" applyAlignment="1" applyProtection="1">
      <alignment vertical="center"/>
    </xf>
    <xf numFmtId="0" fontId="16" fillId="0" borderId="3" xfId="0" applyFont="1" applyBorder="1" applyAlignment="1" applyProtection="1">
      <alignment vertical="center"/>
    </xf>
    <xf numFmtId="0" fontId="33" fillId="0" borderId="1" xfId="0" applyFont="1" applyFill="1" applyBorder="1" applyAlignment="1" applyProtection="1">
      <alignment vertical="center"/>
    </xf>
    <xf numFmtId="0" fontId="33" fillId="0" borderId="0" xfId="0" applyFont="1" applyFill="1" applyBorder="1" applyAlignment="1" applyProtection="1">
      <alignment vertical="center"/>
    </xf>
    <xf numFmtId="0" fontId="33" fillId="0" borderId="57" xfId="0" applyFont="1" applyFill="1" applyBorder="1" applyAlignment="1" applyProtection="1">
      <alignment vertical="center"/>
    </xf>
    <xf numFmtId="0" fontId="35" fillId="0" borderId="62" xfId="0" applyFont="1" applyFill="1" applyBorder="1" applyAlignment="1" applyProtection="1">
      <alignment vertical="center"/>
    </xf>
    <xf numFmtId="0" fontId="35" fillId="0" borderId="43" xfId="0" applyFont="1" applyFill="1" applyBorder="1" applyAlignment="1" applyProtection="1">
      <alignment vertical="center"/>
    </xf>
    <xf numFmtId="0" fontId="35" fillId="0" borderId="44" xfId="0" applyFont="1" applyFill="1" applyBorder="1" applyAlignment="1" applyProtection="1">
      <alignment vertical="center"/>
    </xf>
    <xf numFmtId="0" fontId="16" fillId="0" borderId="9" xfId="0" applyFont="1" applyBorder="1" applyAlignment="1" applyProtection="1">
      <alignment vertical="center"/>
    </xf>
    <xf numFmtId="0" fontId="16" fillId="0" borderId="0" xfId="0" applyFont="1" applyProtection="1"/>
    <xf numFmtId="0" fontId="44" fillId="0" borderId="1" xfId="0" applyFont="1" applyBorder="1" applyAlignment="1" applyProtection="1">
      <alignment horizontal="center" vertical="center"/>
    </xf>
    <xf numFmtId="168" fontId="44" fillId="0" borderId="0" xfId="0" applyNumberFormat="1" applyFont="1" applyBorder="1" applyAlignment="1" applyProtection="1">
      <alignment vertical="center"/>
    </xf>
    <xf numFmtId="0" fontId="16" fillId="0" borderId="2" xfId="0" applyFont="1" applyBorder="1" applyAlignment="1" applyProtection="1">
      <alignment vertical="center"/>
    </xf>
    <xf numFmtId="168" fontId="16" fillId="0" borderId="0" xfId="0" applyNumberFormat="1" applyFont="1" applyAlignment="1" applyProtection="1">
      <alignment horizontal="left" vertical="center"/>
    </xf>
    <xf numFmtId="0" fontId="44" fillId="0" borderId="0" xfId="0" applyFont="1" applyProtection="1"/>
    <xf numFmtId="0" fontId="44" fillId="0" borderId="53" xfId="0" applyFont="1" applyBorder="1" applyAlignment="1" applyProtection="1">
      <alignment horizontal="center" vertical="center"/>
    </xf>
    <xf numFmtId="168" fontId="44" fillId="0" borderId="53" xfId="0" applyNumberFormat="1" applyFont="1" applyBorder="1" applyAlignment="1" applyProtection="1">
      <alignment vertical="center"/>
    </xf>
    <xf numFmtId="0" fontId="16" fillId="0" borderId="53" xfId="0" applyFont="1" applyBorder="1" applyAlignment="1" applyProtection="1">
      <alignment vertical="center"/>
    </xf>
    <xf numFmtId="168" fontId="15" fillId="0" borderId="0" xfId="0" applyNumberFormat="1" applyFont="1" applyAlignment="1" applyProtection="1">
      <alignment horizontal="left" vertical="center"/>
    </xf>
    <xf numFmtId="168" fontId="44" fillId="0" borderId="0" xfId="0" applyNumberFormat="1" applyFont="1" applyAlignment="1" applyProtection="1">
      <alignment vertical="center"/>
    </xf>
    <xf numFmtId="168" fontId="33" fillId="0" borderId="0" xfId="0" applyNumberFormat="1" applyFont="1" applyBorder="1" applyAlignment="1" applyProtection="1">
      <alignment horizontal="center" vertical="center" wrapText="1" shrinkToFit="1"/>
    </xf>
    <xf numFmtId="0" fontId="33" fillId="0" borderId="0" xfId="0" applyFont="1" applyAlignment="1" applyProtection="1">
      <alignment horizontal="right" vertical="center" wrapText="1" shrinkToFit="1"/>
    </xf>
    <xf numFmtId="0" fontId="36" fillId="0" borderId="0" xfId="0" applyFont="1" applyAlignment="1" applyProtection="1">
      <alignment horizontal="center"/>
    </xf>
    <xf numFmtId="0" fontId="33" fillId="0" borderId="29" xfId="0" applyFont="1" applyBorder="1" applyAlignment="1" applyProtection="1">
      <alignment horizontal="center" vertical="center" wrapText="1" shrinkToFit="1"/>
    </xf>
    <xf numFmtId="0" fontId="33" fillId="0" borderId="59" xfId="1" applyFont="1" applyBorder="1" applyAlignment="1" applyProtection="1">
      <alignment horizontal="center" vertical="center" wrapText="1" shrinkToFit="1"/>
    </xf>
    <xf numFmtId="0" fontId="36" fillId="0" borderId="10" xfId="0" applyFont="1" applyBorder="1" applyAlignment="1" applyProtection="1">
      <alignment horizontal="center" vertical="center" wrapText="1"/>
    </xf>
    <xf numFmtId="0" fontId="33" fillId="0" borderId="16" xfId="0" applyFont="1" applyBorder="1" applyAlignment="1" applyProtection="1">
      <alignment horizontal="center" vertical="center" wrapText="1" shrinkToFit="1"/>
    </xf>
    <xf numFmtId="0" fontId="33" fillId="0" borderId="11" xfId="0" applyFont="1" applyBorder="1" applyAlignment="1" applyProtection="1">
      <alignment horizontal="center" vertical="center" wrapText="1" shrinkToFit="1"/>
    </xf>
    <xf numFmtId="0" fontId="33" fillId="0" borderId="40" xfId="0" applyFont="1" applyBorder="1" applyAlignment="1" applyProtection="1">
      <alignment horizontal="center" vertical="center" wrapText="1" shrinkToFit="1"/>
    </xf>
    <xf numFmtId="0" fontId="36" fillId="0" borderId="0" xfId="0" applyFont="1" applyAlignment="1" applyProtection="1">
      <alignment horizontal="center" wrapText="1"/>
    </xf>
    <xf numFmtId="169" fontId="36" fillId="0" borderId="0" xfId="0" applyNumberFormat="1" applyFont="1" applyAlignment="1" applyProtection="1">
      <alignment horizontal="center"/>
    </xf>
    <xf numFmtId="49" fontId="32" fillId="0" borderId="41" xfId="1" applyNumberFormat="1" applyFont="1" applyBorder="1" applyAlignment="1" applyProtection="1">
      <alignment horizontal="center" vertical="center" wrapText="1"/>
    </xf>
    <xf numFmtId="0" fontId="32" fillId="0" borderId="58" xfId="0" applyNumberFormat="1" applyFont="1" applyBorder="1" applyAlignment="1" applyProtection="1">
      <alignment horizontal="center" vertical="center" wrapText="1"/>
    </xf>
    <xf numFmtId="49" fontId="32" fillId="0" borderId="12" xfId="1" applyNumberFormat="1" applyFont="1" applyBorder="1" applyAlignment="1" applyProtection="1">
      <alignment horizontal="center" vertical="center" wrapText="1"/>
    </xf>
    <xf numFmtId="168" fontId="15" fillId="0" borderId="6" xfId="0" applyNumberFormat="1" applyFont="1" applyBorder="1" applyAlignment="1" applyProtection="1">
      <alignment horizontal="center" vertical="center"/>
    </xf>
    <xf numFmtId="169" fontId="16" fillId="0" borderId="19" xfId="0" applyNumberFormat="1" applyFont="1" applyBorder="1" applyAlignment="1" applyProtection="1">
      <alignment horizontal="center" vertical="center"/>
    </xf>
    <xf numFmtId="169" fontId="16" fillId="0" borderId="8" xfId="0" applyNumberFormat="1" applyFont="1" applyBorder="1" applyAlignment="1" applyProtection="1">
      <alignment horizontal="center" vertical="center"/>
    </xf>
    <xf numFmtId="0" fontId="33" fillId="0" borderId="0" xfId="0" applyFont="1" applyAlignment="1" applyProtection="1">
      <alignment horizontal="center" vertical="center" wrapText="1" shrinkToFit="1"/>
    </xf>
    <xf numFmtId="0" fontId="32" fillId="0" borderId="11" xfId="0" applyNumberFormat="1" applyFont="1" applyBorder="1" applyAlignment="1" applyProtection="1">
      <alignment horizontal="center" vertical="center" wrapText="1"/>
    </xf>
    <xf numFmtId="49" fontId="32" fillId="0" borderId="11" xfId="1" applyNumberFormat="1" applyFont="1" applyBorder="1" applyAlignment="1" applyProtection="1">
      <alignment horizontal="center" vertical="center" wrapText="1"/>
    </xf>
    <xf numFmtId="0" fontId="32" fillId="0" borderId="11" xfId="0" applyNumberFormat="1" applyFont="1" applyBorder="1" applyAlignment="1" applyProtection="1">
      <alignment horizontal="center" vertical="center"/>
    </xf>
    <xf numFmtId="0" fontId="44" fillId="0" borderId="11" xfId="0" applyNumberFormat="1" applyFont="1" applyBorder="1" applyAlignment="1" applyProtection="1">
      <alignment horizontal="center" vertical="center"/>
    </xf>
    <xf numFmtId="168" fontId="32" fillId="0" borderId="55" xfId="1" applyNumberFormat="1" applyFont="1" applyBorder="1" applyAlignment="1" applyProtection="1">
      <alignment horizontal="center" vertical="center" wrapText="1"/>
    </xf>
    <xf numFmtId="0" fontId="44" fillId="0" borderId="65" xfId="0" applyNumberFormat="1" applyFont="1" applyBorder="1" applyAlignment="1" applyProtection="1">
      <alignment horizontal="center" vertical="center"/>
    </xf>
    <xf numFmtId="49" fontId="32" fillId="0" borderId="47" xfId="1" applyNumberFormat="1" applyFont="1" applyBorder="1" applyAlignment="1" applyProtection="1">
      <alignment horizontal="center" vertical="center" wrapText="1"/>
    </xf>
    <xf numFmtId="168" fontId="15" fillId="0" borderId="50" xfId="0" applyNumberFormat="1" applyFont="1" applyBorder="1" applyAlignment="1" applyProtection="1">
      <alignment horizontal="center" vertical="center"/>
    </xf>
    <xf numFmtId="168" fontId="32" fillId="0" borderId="4" xfId="1" applyNumberFormat="1" applyFont="1" applyBorder="1" applyAlignment="1" applyProtection="1">
      <alignment horizontal="center" vertical="center" wrapText="1"/>
    </xf>
    <xf numFmtId="0" fontId="44" fillId="0" borderId="12" xfId="0" applyNumberFormat="1" applyFont="1" applyBorder="1" applyAlignment="1" applyProtection="1">
      <alignment horizontal="center" vertical="center"/>
    </xf>
    <xf numFmtId="0" fontId="44" fillId="0" borderId="58" xfId="0" applyNumberFormat="1" applyFont="1" applyBorder="1" applyAlignment="1" applyProtection="1">
      <alignment horizontal="center" vertical="center"/>
    </xf>
    <xf numFmtId="168" fontId="32" fillId="0" borderId="6" xfId="1" applyNumberFormat="1" applyFont="1" applyBorder="1" applyAlignment="1" applyProtection="1">
      <alignment horizontal="center" vertical="center" wrapText="1"/>
    </xf>
    <xf numFmtId="0" fontId="44" fillId="0" borderId="0" xfId="0" applyNumberFormat="1" applyFont="1" applyBorder="1" applyAlignment="1" applyProtection="1">
      <alignment horizontal="center" vertical="center"/>
    </xf>
    <xf numFmtId="0" fontId="33" fillId="0" borderId="0" xfId="0" applyFont="1" applyBorder="1" applyAlignment="1" applyProtection="1">
      <alignment horizontal="center" vertical="center"/>
    </xf>
    <xf numFmtId="168" fontId="15" fillId="0" borderId="6" xfId="0" applyNumberFormat="1" applyFont="1" applyBorder="1" applyAlignment="1" applyProtection="1">
      <alignment vertical="center"/>
    </xf>
    <xf numFmtId="168" fontId="33" fillId="0" borderId="6" xfId="1" applyNumberFormat="1" applyFont="1" applyBorder="1" applyAlignment="1" applyProtection="1">
      <alignment horizontal="center" vertical="center"/>
    </xf>
    <xf numFmtId="170" fontId="33" fillId="0" borderId="0" xfId="1" applyNumberFormat="1" applyFont="1" applyAlignment="1" applyProtection="1">
      <alignment horizontal="center" vertical="center"/>
    </xf>
    <xf numFmtId="168" fontId="15" fillId="0" borderId="48" xfId="0" applyNumberFormat="1" applyFont="1" applyBorder="1" applyAlignment="1" applyProtection="1">
      <alignment vertical="center"/>
    </xf>
    <xf numFmtId="0" fontId="44" fillId="0" borderId="58" xfId="0" applyFont="1" applyBorder="1" applyAlignment="1" applyProtection="1">
      <alignment vertical="center"/>
    </xf>
    <xf numFmtId="49" fontId="32" fillId="0" borderId="54" xfId="1" applyNumberFormat="1" applyFont="1" applyBorder="1" applyAlignment="1" applyProtection="1">
      <alignment horizontal="center" vertical="center" wrapText="1"/>
    </xf>
    <xf numFmtId="0" fontId="33" fillId="0" borderId="0" xfId="0" applyFont="1" applyBorder="1" applyAlignment="1" applyProtection="1">
      <alignment horizontal="left" vertical="top" wrapText="1"/>
    </xf>
    <xf numFmtId="0" fontId="32" fillId="0" borderId="0" xfId="0" applyFont="1" applyBorder="1" applyAlignment="1" applyProtection="1">
      <alignment horizontal="center" vertical="top" wrapText="1"/>
    </xf>
    <xf numFmtId="168" fontId="16" fillId="0" borderId="0" xfId="0" applyNumberFormat="1" applyFont="1" applyBorder="1" applyAlignment="1" applyProtection="1">
      <alignment vertical="center"/>
    </xf>
    <xf numFmtId="0" fontId="33" fillId="0" borderId="52" xfId="0" applyFont="1" applyBorder="1" applyAlignment="1" applyProtection="1">
      <alignment horizontal="left" vertical="top" wrapText="1"/>
    </xf>
    <xf numFmtId="168" fontId="33" fillId="0" borderId="0" xfId="0" applyNumberFormat="1" applyFont="1" applyBorder="1" applyAlignment="1" applyProtection="1">
      <alignment horizontal="center" vertical="top" wrapText="1"/>
    </xf>
    <xf numFmtId="169" fontId="35" fillId="0" borderId="42" xfId="1" applyNumberFormat="1" applyFont="1" applyBorder="1" applyAlignment="1" applyProtection="1">
      <alignment horizontal="center" vertical="center"/>
    </xf>
    <xf numFmtId="169" fontId="16" fillId="0" borderId="0" xfId="0" applyNumberFormat="1" applyFont="1" applyAlignment="1" applyProtection="1">
      <alignment horizontal="center" vertical="center"/>
    </xf>
    <xf numFmtId="0" fontId="43" fillId="0" borderId="51" xfId="3" applyFont="1" applyBorder="1" applyAlignment="1" applyProtection="1">
      <alignment horizontal="center" vertical="center"/>
    </xf>
    <xf numFmtId="169" fontId="35" fillId="0" borderId="42" xfId="0" applyNumberFormat="1" applyFont="1" applyBorder="1" applyAlignment="1" applyProtection="1">
      <alignment horizontal="center" vertical="center"/>
    </xf>
    <xf numFmtId="0" fontId="57" fillId="0" borderId="0" xfId="0" applyFont="1" applyAlignment="1" applyProtection="1">
      <alignment horizontal="left"/>
    </xf>
    <xf numFmtId="3" fontId="35" fillId="0" borderId="51" xfId="0" applyNumberFormat="1" applyFont="1" applyFill="1" applyBorder="1" applyAlignment="1" applyProtection="1">
      <alignment horizontal="center" vertical="top" wrapText="1"/>
    </xf>
    <xf numFmtId="0" fontId="33" fillId="4" borderId="0" xfId="0" applyFont="1" applyFill="1" applyBorder="1" applyAlignment="1" applyProtection="1">
      <alignment horizontal="left" vertical="top" wrapText="1"/>
    </xf>
    <xf numFmtId="0" fontId="32" fillId="0" borderId="0" xfId="0" applyFont="1" applyBorder="1" applyAlignment="1" applyProtection="1">
      <alignment horizontal="right" vertical="top" wrapText="1"/>
    </xf>
    <xf numFmtId="0" fontId="33" fillId="0" borderId="34" xfId="0" applyFont="1" applyBorder="1" applyAlignment="1" applyProtection="1">
      <alignment vertical="top" wrapText="1"/>
    </xf>
    <xf numFmtId="0" fontId="16" fillId="0" borderId="0" xfId="0" applyFont="1" applyBorder="1" applyAlignment="1" applyProtection="1">
      <alignment horizontal="right" vertical="center"/>
    </xf>
    <xf numFmtId="0" fontId="33" fillId="0" borderId="0" xfId="0" applyFont="1" applyBorder="1" applyAlignment="1" applyProtection="1">
      <alignment vertical="top" wrapText="1"/>
    </xf>
    <xf numFmtId="0" fontId="16" fillId="0" borderId="0" xfId="0" applyFont="1" applyBorder="1" applyAlignment="1" applyProtection="1">
      <alignment vertical="center"/>
    </xf>
    <xf numFmtId="0" fontId="16" fillId="0" borderId="0" xfId="0" applyFont="1" applyFill="1" applyProtection="1"/>
    <xf numFmtId="0" fontId="44" fillId="0" borderId="0" xfId="0" applyFont="1" applyBorder="1" applyAlignment="1" applyProtection="1">
      <alignment vertical="center"/>
    </xf>
    <xf numFmtId="168" fontId="16" fillId="0" borderId="0" xfId="0" applyNumberFormat="1" applyFont="1" applyBorder="1" applyAlignment="1" applyProtection="1">
      <alignment horizontal="center" vertical="center"/>
    </xf>
    <xf numFmtId="49" fontId="32" fillId="0" borderId="41" xfId="1" applyNumberFormat="1" applyFont="1" applyBorder="1" applyAlignment="1" applyProtection="1">
      <alignment horizontal="center" vertical="center" wrapText="1"/>
      <protection locked="0"/>
    </xf>
    <xf numFmtId="0" fontId="32" fillId="0" borderId="0" xfId="1" applyFont="1" applyBorder="1" applyAlignment="1" applyProtection="1">
      <alignment horizontal="left" vertical="center"/>
      <protection locked="0"/>
    </xf>
    <xf numFmtId="49" fontId="32" fillId="0" borderId="49" xfId="1" applyNumberFormat="1" applyFont="1" applyBorder="1" applyAlignment="1" applyProtection="1">
      <alignment horizontal="center" vertical="center" wrapText="1"/>
      <protection locked="0"/>
    </xf>
    <xf numFmtId="49" fontId="32" fillId="0" borderId="40" xfId="1" applyNumberFormat="1" applyFont="1" applyBorder="1" applyAlignment="1" applyProtection="1">
      <alignment horizontal="center" vertical="center" wrapText="1"/>
      <protection locked="0"/>
    </xf>
    <xf numFmtId="0" fontId="15" fillId="0" borderId="41" xfId="0" applyFont="1" applyBorder="1" applyAlignment="1" applyProtection="1">
      <alignment vertical="center"/>
      <protection locked="0"/>
    </xf>
    <xf numFmtId="0" fontId="33" fillId="0" borderId="0" xfId="0" applyFont="1" applyBorder="1" applyAlignment="1" applyProtection="1">
      <alignment horizontal="right" vertical="center"/>
      <protection locked="0"/>
    </xf>
    <xf numFmtId="0" fontId="15" fillId="0" borderId="0" xfId="0" applyFont="1" applyBorder="1" applyAlignment="1" applyProtection="1">
      <alignment vertical="center"/>
      <protection locked="0"/>
    </xf>
    <xf numFmtId="0" fontId="15" fillId="0" borderId="0" xfId="0" applyFont="1" applyAlignment="1" applyProtection="1">
      <alignment vertical="center"/>
      <protection locked="0"/>
    </xf>
    <xf numFmtId="0" fontId="33" fillId="0" borderId="41" xfId="0" applyFont="1" applyBorder="1" applyAlignment="1" applyProtection="1">
      <alignment horizontal="left" vertical="top" wrapText="1"/>
      <protection locked="0"/>
    </xf>
    <xf numFmtId="0" fontId="36" fillId="0" borderId="0" xfId="0" applyFont="1" applyBorder="1" applyAlignment="1" applyProtection="1">
      <alignment horizontal="left" vertical="center"/>
      <protection locked="0"/>
    </xf>
    <xf numFmtId="0" fontId="33" fillId="0" borderId="49" xfId="0" applyFont="1" applyBorder="1" applyAlignment="1" applyProtection="1">
      <alignment horizontal="left" vertical="top" wrapText="1"/>
      <protection locked="0"/>
    </xf>
    <xf numFmtId="0" fontId="15" fillId="0" borderId="48" xfId="0" applyFont="1" applyBorder="1" applyAlignment="1" applyProtection="1">
      <alignment vertical="center"/>
      <protection locked="0"/>
    </xf>
    <xf numFmtId="3" fontId="32" fillId="0" borderId="0" xfId="1" applyNumberFormat="1" applyFont="1" applyFill="1" applyBorder="1" applyAlignment="1" applyProtection="1">
      <alignment horizontal="center" vertical="center" wrapText="1"/>
      <protection locked="0"/>
    </xf>
    <xf numFmtId="168" fontId="32" fillId="0" borderId="3" xfId="1" applyNumberFormat="1" applyFont="1" applyFill="1" applyBorder="1" applyAlignment="1" applyProtection="1">
      <alignment horizontal="center" vertical="center" wrapText="1"/>
      <protection locked="0"/>
    </xf>
    <xf numFmtId="3" fontId="32" fillId="0" borderId="0" xfId="1" applyNumberFormat="1" applyFont="1" applyFill="1" applyBorder="1" applyAlignment="1" applyProtection="1">
      <alignment horizontal="center" vertical="center"/>
      <protection locked="0"/>
    </xf>
    <xf numFmtId="168" fontId="32" fillId="0" borderId="3" xfId="1" applyNumberFormat="1" applyFont="1" applyFill="1" applyBorder="1" applyAlignment="1" applyProtection="1">
      <alignment horizontal="center" vertical="center"/>
      <protection locked="0"/>
    </xf>
    <xf numFmtId="168" fontId="32" fillId="0" borderId="3" xfId="0" applyNumberFormat="1" applyFont="1" applyBorder="1" applyAlignment="1" applyProtection="1">
      <alignment horizontal="center" vertical="top" wrapText="1"/>
      <protection locked="0"/>
    </xf>
    <xf numFmtId="168" fontId="15" fillId="0" borderId="3" xfId="0" applyNumberFormat="1" applyFont="1" applyBorder="1" applyAlignment="1" applyProtection="1">
      <alignment horizontal="center" vertical="center"/>
      <protection locked="0"/>
    </xf>
    <xf numFmtId="3" fontId="32" fillId="0" borderId="0" xfId="1" applyNumberFormat="1" applyFont="1" applyBorder="1" applyAlignment="1" applyProtection="1">
      <alignment horizontal="center" vertical="center"/>
      <protection locked="0"/>
    </xf>
    <xf numFmtId="3" fontId="32" fillId="0" borderId="53" xfId="1" applyNumberFormat="1" applyFont="1" applyFill="1" applyBorder="1" applyAlignment="1" applyProtection="1">
      <alignment horizontal="center" vertical="center"/>
      <protection locked="0"/>
    </xf>
    <xf numFmtId="168" fontId="15" fillId="0" borderId="55" xfId="0" applyNumberFormat="1" applyFont="1" applyBorder="1" applyAlignment="1" applyProtection="1">
      <alignment horizontal="center" vertical="center"/>
      <protection locked="0"/>
    </xf>
    <xf numFmtId="3" fontId="32" fillId="0" borderId="0" xfId="1" applyNumberFormat="1" applyFont="1" applyBorder="1" applyAlignment="1" applyProtection="1">
      <alignment vertical="center" wrapText="1"/>
      <protection locked="0"/>
    </xf>
    <xf numFmtId="3" fontId="32" fillId="0" borderId="3" xfId="1" applyNumberFormat="1" applyFont="1" applyBorder="1" applyAlignment="1" applyProtection="1">
      <alignment vertical="center" wrapText="1"/>
      <protection locked="0"/>
    </xf>
    <xf numFmtId="165" fontId="33" fillId="0" borderId="3" xfId="0" applyNumberFormat="1" applyFont="1" applyBorder="1" applyAlignment="1" applyProtection="1">
      <alignment horizontal="center" vertical="center"/>
      <protection locked="0"/>
    </xf>
    <xf numFmtId="168" fontId="15" fillId="0" borderId="3" xfId="0" applyNumberFormat="1" applyFont="1" applyBorder="1" applyAlignment="1" applyProtection="1">
      <alignment vertical="center"/>
      <protection locked="0"/>
    </xf>
    <xf numFmtId="0" fontId="15" fillId="0" borderId="3" xfId="0" applyFont="1" applyBorder="1" applyAlignment="1" applyProtection="1">
      <alignment vertical="center"/>
      <protection locked="0"/>
    </xf>
    <xf numFmtId="0" fontId="33" fillId="0" borderId="3" xfId="1" applyFont="1" applyBorder="1" applyAlignment="1" applyProtection="1">
      <alignment horizontal="left" vertical="center"/>
      <protection locked="0"/>
    </xf>
    <xf numFmtId="0" fontId="15" fillId="0" borderId="55" xfId="0" applyFont="1" applyBorder="1" applyAlignment="1" applyProtection="1">
      <alignment vertical="center"/>
      <protection locked="0"/>
    </xf>
    <xf numFmtId="168" fontId="15" fillId="0" borderId="55" xfId="0" applyNumberFormat="1" applyFont="1" applyBorder="1" applyAlignment="1" applyProtection="1">
      <alignment vertical="center"/>
      <protection locked="0"/>
    </xf>
    <xf numFmtId="49" fontId="32" fillId="5" borderId="37" xfId="1" applyNumberFormat="1" applyFont="1" applyFill="1" applyBorder="1" applyAlignment="1" applyProtection="1">
      <alignment horizontal="center" vertical="center" wrapText="1"/>
      <protection locked="0"/>
    </xf>
    <xf numFmtId="49" fontId="32" fillId="5" borderId="1" xfId="1" applyNumberFormat="1" applyFont="1" applyFill="1" applyBorder="1" applyAlignment="1" applyProtection="1">
      <alignment horizontal="center" vertical="center" wrapText="1"/>
      <protection locked="0"/>
    </xf>
    <xf numFmtId="49" fontId="32" fillId="5" borderId="6" xfId="1" applyNumberFormat="1" applyFont="1" applyFill="1" applyBorder="1" applyAlignment="1" applyProtection="1">
      <alignment horizontal="center" vertical="center" wrapText="1"/>
      <protection locked="0"/>
    </xf>
    <xf numFmtId="49" fontId="32" fillId="5" borderId="63" xfId="1" applyNumberFormat="1" applyFont="1" applyFill="1" applyBorder="1" applyAlignment="1" applyProtection="1">
      <alignment horizontal="center" vertical="center" wrapText="1"/>
      <protection locked="0"/>
    </xf>
    <xf numFmtId="49" fontId="32" fillId="5" borderId="64" xfId="1" applyNumberFormat="1" applyFont="1" applyFill="1" applyBorder="1" applyAlignment="1" applyProtection="1">
      <alignment horizontal="center" vertical="center" wrapText="1"/>
      <protection locked="0"/>
    </xf>
    <xf numFmtId="174" fontId="32" fillId="7" borderId="32" xfId="1" applyNumberFormat="1" applyFont="1" applyFill="1" applyBorder="1" applyAlignment="1" applyProtection="1">
      <alignment horizontal="center" vertical="center"/>
      <protection locked="0"/>
    </xf>
    <xf numFmtId="174" fontId="32" fillId="7" borderId="33" xfId="1" applyNumberFormat="1" applyFont="1" applyFill="1" applyBorder="1" applyAlignment="1" applyProtection="1">
      <alignment horizontal="center" vertical="center"/>
      <protection locked="0"/>
    </xf>
    <xf numFmtId="0" fontId="36" fillId="0" borderId="40" xfId="0" applyFont="1" applyBorder="1" applyAlignment="1">
      <alignment horizontal="center" vertical="center" wrapText="1"/>
    </xf>
    <xf numFmtId="168" fontId="36" fillId="0" borderId="51" xfId="0" applyNumberFormat="1" applyFont="1" applyBorder="1" applyAlignment="1">
      <alignment horizontal="center" vertical="center" wrapText="1"/>
    </xf>
    <xf numFmtId="168" fontId="16" fillId="0" borderId="51" xfId="0" applyNumberFormat="1" applyFont="1" applyBorder="1" applyAlignment="1">
      <alignment horizontal="center" vertical="center"/>
    </xf>
    <xf numFmtId="168" fontId="11" fillId="0" borderId="51" xfId="0" applyNumberFormat="1" applyFont="1" applyBorder="1" applyAlignment="1">
      <alignment horizontal="center" vertical="center"/>
    </xf>
    <xf numFmtId="168" fontId="17" fillId="0" borderId="51" xfId="0" applyNumberFormat="1" applyFont="1" applyBorder="1" applyAlignment="1">
      <alignment horizontal="center" vertical="center"/>
    </xf>
    <xf numFmtId="168" fontId="17" fillId="0" borderId="18" xfId="0" applyNumberFormat="1" applyFont="1" applyBorder="1" applyAlignment="1">
      <alignment horizontal="center" vertical="center"/>
    </xf>
    <xf numFmtId="168" fontId="23" fillId="0" borderId="51" xfId="0" applyNumberFormat="1" applyFont="1" applyBorder="1" applyAlignment="1">
      <alignment horizontal="center" vertical="center"/>
    </xf>
    <xf numFmtId="168" fontId="23" fillId="0" borderId="0" xfId="0" applyNumberFormat="1" applyFont="1" applyAlignment="1">
      <alignment horizontal="center" vertical="center"/>
    </xf>
    <xf numFmtId="168" fontId="24" fillId="0" borderId="0" xfId="0" applyNumberFormat="1" applyFont="1" applyAlignment="1">
      <alignment horizontal="center" vertical="center"/>
    </xf>
    <xf numFmtId="0" fontId="9" fillId="0" borderId="0" xfId="0" applyFont="1" applyAlignment="1">
      <alignment vertical="center"/>
    </xf>
    <xf numFmtId="0" fontId="8" fillId="0" borderId="0" xfId="0" applyFont="1" applyAlignment="1" applyProtection="1">
      <alignment horizontal="center" vertical="center"/>
    </xf>
    <xf numFmtId="0" fontId="33" fillId="4" borderId="0" xfId="1" applyFont="1" applyFill="1" applyBorder="1" applyAlignment="1" applyProtection="1">
      <alignment horizontal="center" vertical="center"/>
    </xf>
    <xf numFmtId="0" fontId="32" fillId="4" borderId="0" xfId="1" applyFont="1" applyFill="1" applyBorder="1" applyAlignment="1" applyProtection="1">
      <alignment horizontal="center" vertical="center"/>
    </xf>
    <xf numFmtId="0" fontId="35" fillId="0" borderId="0" xfId="1" applyFont="1" applyAlignment="1" applyProtection="1">
      <alignment horizontal="center" vertical="center"/>
    </xf>
    <xf numFmtId="0" fontId="32" fillId="0" borderId="15" xfId="1" applyFont="1" applyBorder="1" applyAlignment="1" applyProtection="1">
      <alignment horizontal="center" vertical="center"/>
    </xf>
    <xf numFmtId="0" fontId="32" fillId="0" borderId="0" xfId="1" applyFont="1" applyBorder="1" applyAlignment="1" applyProtection="1">
      <alignment horizontal="center" vertical="center"/>
    </xf>
    <xf numFmtId="0" fontId="43" fillId="0" borderId="43" xfId="0" applyFont="1" applyBorder="1" applyAlignment="1" applyProtection="1">
      <alignment horizontal="center" vertical="center"/>
    </xf>
    <xf numFmtId="0" fontId="30" fillId="0" borderId="0" xfId="0" applyFont="1" applyBorder="1" applyAlignment="1" applyProtection="1">
      <alignment horizontal="center" vertical="center"/>
    </xf>
    <xf numFmtId="0" fontId="30" fillId="0" borderId="0" xfId="0" applyFont="1" applyAlignment="1" applyProtection="1">
      <alignment horizontal="center" vertical="center"/>
    </xf>
    <xf numFmtId="0" fontId="0" fillId="0" borderId="0" xfId="0" applyAlignment="1" applyProtection="1">
      <alignment horizontal="center"/>
    </xf>
    <xf numFmtId="0" fontId="8" fillId="0" borderId="51" xfId="0" applyFont="1" applyBorder="1" applyAlignment="1">
      <alignment horizontal="center" vertical="center"/>
    </xf>
    <xf numFmtId="0" fontId="62" fillId="0" borderId="59" xfId="1" applyFont="1" applyBorder="1" applyAlignment="1" applyProtection="1">
      <alignment horizontal="center" vertical="center" wrapText="1" shrinkToFit="1"/>
    </xf>
    <xf numFmtId="0" fontId="63" fillId="0" borderId="52" xfId="1" applyFont="1" applyBorder="1" applyAlignment="1" applyProtection="1">
      <alignment horizontal="center" vertical="center" wrapText="1"/>
    </xf>
    <xf numFmtId="0" fontId="63" fillId="0" borderId="0" xfId="1" applyFont="1" applyBorder="1" applyAlignment="1" applyProtection="1">
      <alignment horizontal="center" vertical="center" wrapText="1"/>
    </xf>
    <xf numFmtId="0" fontId="63" fillId="0" borderId="34" xfId="1" applyFont="1" applyBorder="1" applyAlignment="1" applyProtection="1">
      <alignment horizontal="center" vertical="center" wrapText="1"/>
    </xf>
    <xf numFmtId="0" fontId="7" fillId="0" borderId="0" xfId="0" applyFont="1" applyAlignment="1" applyProtection="1">
      <alignment vertical="center"/>
    </xf>
    <xf numFmtId="0" fontId="64" fillId="0" borderId="0" xfId="0" applyFont="1" applyAlignment="1" applyProtection="1">
      <alignment horizontal="center" vertical="center"/>
    </xf>
    <xf numFmtId="164" fontId="32" fillId="9" borderId="24" xfId="1" applyNumberFormat="1" applyFont="1" applyFill="1" applyBorder="1" applyAlignment="1" applyProtection="1">
      <alignment horizontal="center" vertical="center"/>
    </xf>
    <xf numFmtId="0" fontId="6" fillId="0" borderId="0" xfId="0" applyFont="1" applyAlignment="1" applyProtection="1">
      <alignment horizontal="center" vertical="center"/>
    </xf>
    <xf numFmtId="0" fontId="36" fillId="0" borderId="4" xfId="0" applyFont="1" applyBorder="1" applyAlignment="1">
      <alignment horizontal="center" vertical="center" wrapText="1"/>
    </xf>
    <xf numFmtId="0" fontId="11" fillId="0" borderId="0" xfId="0" applyFont="1" applyAlignment="1">
      <alignment vertical="center"/>
    </xf>
    <xf numFmtId="0" fontId="11" fillId="0" borderId="0" xfId="0" applyFont="1" applyAlignment="1">
      <alignment vertical="center" wrapText="1"/>
    </xf>
    <xf numFmtId="0" fontId="36" fillId="4" borderId="4" xfId="1" applyFont="1" applyFill="1" applyBorder="1" applyAlignment="1">
      <alignment horizontal="center" vertical="center" wrapText="1" shrinkToFit="1"/>
    </xf>
    <xf numFmtId="173" fontId="5" fillId="0" borderId="0" xfId="0" applyNumberFormat="1" applyFont="1" applyAlignment="1" applyProtection="1">
      <alignment horizontal="center" vertical="center"/>
    </xf>
    <xf numFmtId="166" fontId="5" fillId="0" borderId="0" xfId="0" applyNumberFormat="1" applyFont="1" applyAlignment="1" applyProtection="1">
      <alignment horizontal="left" vertical="center"/>
    </xf>
    <xf numFmtId="0" fontId="4" fillId="0" borderId="0" xfId="0" applyFont="1" applyAlignment="1" applyProtection="1">
      <alignment vertical="center"/>
    </xf>
    <xf numFmtId="0" fontId="4" fillId="0" borderId="0" xfId="0" applyFont="1" applyAlignment="1" applyProtection="1">
      <alignment horizontal="left" vertical="center"/>
    </xf>
    <xf numFmtId="49" fontId="4" fillId="9" borderId="0" xfId="0" applyNumberFormat="1" applyFont="1" applyFill="1" applyAlignment="1" applyProtection="1">
      <alignment horizontal="center" vertical="center"/>
    </xf>
    <xf numFmtId="0" fontId="4" fillId="9" borderId="0" xfId="0" applyFont="1" applyFill="1" applyAlignment="1" applyProtection="1">
      <alignment horizontal="center" vertical="center"/>
    </xf>
    <xf numFmtId="0" fontId="16" fillId="9" borderId="0" xfId="0" applyFont="1" applyFill="1" applyAlignment="1" applyProtection="1">
      <alignment horizontal="center" vertical="center"/>
    </xf>
    <xf numFmtId="0" fontId="11" fillId="0" borderId="3" xfId="0" applyFont="1" applyBorder="1" applyAlignment="1">
      <alignment vertical="center"/>
    </xf>
    <xf numFmtId="0" fontId="32" fillId="0" borderId="0" xfId="1" applyFont="1" applyBorder="1" applyAlignment="1" applyProtection="1">
      <alignment vertical="center"/>
      <protection locked="0"/>
    </xf>
    <xf numFmtId="0" fontId="12" fillId="9" borderId="0" xfId="0" applyFont="1" applyFill="1" applyBorder="1" applyAlignment="1" applyProtection="1">
      <alignment horizontal="center" vertical="center"/>
    </xf>
    <xf numFmtId="0" fontId="3" fillId="4" borderId="0" xfId="0" applyFont="1" applyFill="1" applyAlignment="1">
      <alignment horizontal="center" vertical="center"/>
    </xf>
    <xf numFmtId="0" fontId="3" fillId="0" borderId="0" xfId="0" applyFont="1" applyAlignment="1">
      <alignment horizontal="center" vertical="center"/>
    </xf>
    <xf numFmtId="0" fontId="33" fillId="0" borderId="30" xfId="1" applyFont="1" applyBorder="1" applyAlignment="1" applyProtection="1">
      <alignment horizontal="right" vertical="center" wrapText="1" shrinkToFit="1"/>
    </xf>
    <xf numFmtId="0" fontId="64" fillId="4" borderId="2" xfId="0" applyFont="1" applyFill="1" applyBorder="1" applyAlignment="1" applyProtection="1">
      <alignment horizontal="right" vertical="center"/>
    </xf>
    <xf numFmtId="0" fontId="3" fillId="0" borderId="0" xfId="0" applyFont="1" applyAlignment="1">
      <alignment vertical="center"/>
    </xf>
    <xf numFmtId="0" fontId="10" fillId="0" borderId="0" xfId="0" applyFont="1" applyBorder="1" applyAlignment="1">
      <alignment horizontal="center" vertical="center" wrapText="1"/>
    </xf>
    <xf numFmtId="175" fontId="32" fillId="4" borderId="3" xfId="1" applyNumberFormat="1" applyFont="1" applyFill="1" applyBorder="1" applyAlignment="1" applyProtection="1">
      <alignment horizontal="center" vertical="center" wrapText="1"/>
      <protection locked="0"/>
    </xf>
    <xf numFmtId="175" fontId="32" fillId="4" borderId="3" xfId="1" quotePrefix="1" applyNumberFormat="1" applyFont="1" applyFill="1" applyBorder="1" applyAlignment="1" applyProtection="1">
      <alignment horizontal="center" vertical="center" wrapText="1"/>
      <protection locked="0"/>
    </xf>
    <xf numFmtId="175" fontId="33" fillId="0" borderId="15" xfId="1" applyNumberFormat="1" applyFont="1" applyBorder="1" applyAlignment="1" applyProtection="1">
      <alignment vertical="center"/>
    </xf>
    <xf numFmtId="175" fontId="33" fillId="0" borderId="0" xfId="1" applyNumberFormat="1" applyFont="1" applyBorder="1" applyAlignment="1" applyProtection="1">
      <alignment horizontal="right" vertical="center"/>
    </xf>
    <xf numFmtId="175" fontId="31" fillId="0" borderId="0" xfId="0" applyNumberFormat="1" applyFont="1" applyBorder="1" applyAlignment="1" applyProtection="1">
      <alignment vertical="center"/>
    </xf>
    <xf numFmtId="175" fontId="40" fillId="0" borderId="0" xfId="0" applyNumberFormat="1" applyFont="1" applyBorder="1" applyProtection="1"/>
    <xf numFmtId="175" fontId="43" fillId="0" borderId="0" xfId="0" applyNumberFormat="1" applyFont="1" applyBorder="1" applyAlignment="1" applyProtection="1">
      <alignment vertical="center"/>
    </xf>
    <xf numFmtId="175" fontId="30" fillId="0" borderId="0" xfId="0" applyNumberFormat="1" applyFont="1" applyBorder="1" applyAlignment="1" applyProtection="1">
      <alignment vertical="center"/>
    </xf>
    <xf numFmtId="175" fontId="30" fillId="0" borderId="0" xfId="0" applyNumberFormat="1" applyFont="1" applyAlignment="1" applyProtection="1">
      <alignment vertical="center"/>
    </xf>
    <xf numFmtId="175" fontId="31" fillId="0" borderId="0" xfId="0" applyNumberFormat="1" applyFont="1" applyAlignment="1" applyProtection="1">
      <alignment vertical="center"/>
    </xf>
    <xf numFmtId="0" fontId="36" fillId="0" borderId="60" xfId="0" applyFont="1" applyBorder="1" applyAlignment="1">
      <alignment horizontal="center" vertical="center" wrapText="1"/>
    </xf>
    <xf numFmtId="0" fontId="33" fillId="0" borderId="40" xfId="1" applyFont="1" applyBorder="1" applyAlignment="1">
      <alignment horizontal="center" vertical="center" wrapText="1" shrinkToFit="1"/>
    </xf>
    <xf numFmtId="0" fontId="36" fillId="0" borderId="72" xfId="0" applyFont="1" applyBorder="1" applyAlignment="1">
      <alignment horizontal="center" vertical="center" wrapText="1"/>
    </xf>
    <xf numFmtId="0" fontId="62" fillId="10" borderId="41" xfId="1" applyFont="1" applyFill="1" applyBorder="1" applyAlignment="1">
      <alignment horizontal="center" vertical="center" wrapText="1" shrinkToFit="1"/>
    </xf>
    <xf numFmtId="0" fontId="62" fillId="10" borderId="3" xfId="1" applyFont="1" applyFill="1" applyBorder="1" applyAlignment="1">
      <alignment horizontal="center" vertical="center" wrapText="1" shrinkToFit="1"/>
    </xf>
    <xf numFmtId="168" fontId="62" fillId="10" borderId="3" xfId="0" applyNumberFormat="1" applyFont="1" applyFill="1" applyBorder="1" applyAlignment="1">
      <alignment horizontal="center" vertical="center" wrapText="1" shrinkToFit="1"/>
    </xf>
    <xf numFmtId="0" fontId="62" fillId="10" borderId="3" xfId="0" applyFont="1" applyFill="1" applyBorder="1" applyAlignment="1">
      <alignment horizontal="center" vertical="center" wrapText="1"/>
    </xf>
    <xf numFmtId="0" fontId="62" fillId="10" borderId="6" xfId="0" applyFont="1" applyFill="1" applyBorder="1" applyAlignment="1">
      <alignment horizontal="center" vertical="center" wrapText="1"/>
    </xf>
    <xf numFmtId="0" fontId="3" fillId="0" borderId="0" xfId="0" applyFont="1"/>
    <xf numFmtId="167" fontId="3" fillId="0" borderId="0" xfId="0" applyNumberFormat="1" applyFont="1"/>
    <xf numFmtId="167" fontId="3" fillId="0" borderId="0" xfId="0" applyNumberFormat="1" applyFont="1" applyAlignment="1">
      <alignment horizontal="center" vertical="center"/>
    </xf>
    <xf numFmtId="0" fontId="3" fillId="0" borderId="0" xfId="0" applyFont="1" applyAlignment="1">
      <alignment vertical="center" wrapText="1"/>
    </xf>
    <xf numFmtId="3" fontId="3" fillId="0" borderId="0" xfId="0" applyNumberFormat="1" applyFont="1" applyAlignment="1">
      <alignment horizontal="center" vertical="center"/>
    </xf>
    <xf numFmtId="168" fontId="3" fillId="0" borderId="0" xfId="0" applyNumberFormat="1" applyFont="1" applyAlignment="1">
      <alignment horizontal="center" vertical="center"/>
    </xf>
    <xf numFmtId="0" fontId="11" fillId="0" borderId="1" xfId="0" applyFont="1" applyBorder="1" applyAlignment="1">
      <alignment horizontal="center" vertical="center"/>
    </xf>
    <xf numFmtId="0" fontId="32" fillId="0" borderId="3" xfId="1" applyFont="1" applyFill="1" applyBorder="1" applyAlignment="1" applyProtection="1">
      <alignment horizontal="left" vertical="center" wrapText="1"/>
    </xf>
    <xf numFmtId="0" fontId="3" fillId="0" borderId="3" xfId="1" applyFont="1" applyFill="1" applyBorder="1" applyAlignment="1" applyProtection="1">
      <alignment horizontal="center" vertical="center" wrapText="1"/>
    </xf>
    <xf numFmtId="0" fontId="3" fillId="0" borderId="3" xfId="0" applyFont="1" applyFill="1" applyBorder="1" applyAlignment="1" applyProtection="1">
      <alignment horizontal="center" vertical="center"/>
    </xf>
    <xf numFmtId="3" fontId="32" fillId="0" borderId="3" xfId="1" applyNumberFormat="1" applyFont="1" applyFill="1" applyBorder="1" applyAlignment="1" applyProtection="1">
      <alignment horizontal="center" vertical="center" wrapText="1"/>
    </xf>
    <xf numFmtId="168" fontId="32" fillId="0" borderId="3" xfId="1" applyNumberFormat="1" applyFont="1" applyFill="1" applyBorder="1" applyAlignment="1" applyProtection="1">
      <alignment horizontal="center" vertical="center" wrapText="1"/>
    </xf>
    <xf numFmtId="167" fontId="32" fillId="0" borderId="3" xfId="1" applyNumberFormat="1" applyFont="1" applyFill="1" applyBorder="1" applyAlignment="1" applyProtection="1">
      <alignment horizontal="center" vertical="center" wrapText="1"/>
      <protection locked="0"/>
    </xf>
    <xf numFmtId="167" fontId="32" fillId="0" borderId="3" xfId="1" applyNumberFormat="1" applyFont="1" applyFill="1" applyBorder="1" applyAlignment="1" applyProtection="1">
      <alignment horizontal="center" vertical="center" wrapText="1"/>
    </xf>
    <xf numFmtId="0" fontId="11" fillId="0" borderId="3" xfId="0" applyFont="1" applyFill="1" applyBorder="1" applyAlignment="1">
      <alignment horizontal="center" vertical="center"/>
    </xf>
    <xf numFmtId="167" fontId="32" fillId="0" borderId="3" xfId="1" quotePrefix="1" applyNumberFormat="1" applyFont="1" applyFill="1" applyBorder="1" applyAlignment="1" applyProtection="1">
      <alignment horizontal="center" vertical="center" wrapText="1"/>
      <protection locked="0"/>
    </xf>
    <xf numFmtId="167" fontId="10" fillId="0" borderId="3" xfId="0" applyNumberFormat="1" applyFont="1" applyFill="1" applyBorder="1" applyAlignment="1">
      <alignment horizontal="center" vertical="center"/>
    </xf>
    <xf numFmtId="167" fontId="11" fillId="0" borderId="3" xfId="0" applyNumberFormat="1" applyFont="1" applyFill="1" applyBorder="1" applyAlignment="1">
      <alignment horizontal="center" vertical="center"/>
    </xf>
    <xf numFmtId="0" fontId="2" fillId="0" borderId="0" xfId="0" pivotButton="1" applyFont="1"/>
    <xf numFmtId="0" fontId="2" fillId="0" borderId="0" xfId="0" applyFont="1"/>
    <xf numFmtId="0" fontId="2" fillId="0" borderId="0" xfId="0" applyFont="1" applyAlignment="1">
      <alignment horizontal="left"/>
    </xf>
    <xf numFmtId="167" fontId="2" fillId="0" borderId="0" xfId="0" applyNumberFormat="1" applyFont="1"/>
    <xf numFmtId="0" fontId="2" fillId="0" borderId="0" xfId="0" applyNumberFormat="1" applyFont="1"/>
    <xf numFmtId="0" fontId="32" fillId="0" borderId="48" xfId="1" applyFont="1" applyBorder="1" applyAlignment="1" applyProtection="1">
      <alignment horizontal="left" vertical="center" wrapText="1"/>
      <protection locked="0"/>
    </xf>
    <xf numFmtId="0" fontId="64" fillId="4" borderId="54" xfId="0" applyFont="1" applyFill="1" applyBorder="1" applyAlignment="1" applyProtection="1">
      <alignment horizontal="right" vertical="center"/>
    </xf>
    <xf numFmtId="169" fontId="36" fillId="0" borderId="0" xfId="0" applyNumberFormat="1" applyFont="1" applyAlignment="1" applyProtection="1">
      <alignment horizontal="center" vertical="center"/>
    </xf>
    <xf numFmtId="169" fontId="36" fillId="0" borderId="0" xfId="0" applyNumberFormat="1" applyFont="1" applyBorder="1" applyAlignment="1" applyProtection="1">
      <alignment horizontal="center" vertical="center"/>
    </xf>
    <xf numFmtId="169" fontId="68" fillId="4" borderId="2" xfId="0" applyNumberFormat="1" applyFont="1" applyFill="1" applyBorder="1" applyAlignment="1" applyProtection="1">
      <alignment horizontal="center" vertical="center"/>
    </xf>
    <xf numFmtId="169" fontId="33" fillId="0" borderId="0" xfId="0" applyNumberFormat="1" applyFont="1" applyBorder="1" applyAlignment="1" applyProtection="1">
      <alignment horizontal="center" vertical="center" wrapText="1" shrinkToFit="1"/>
    </xf>
    <xf numFmtId="169" fontId="33" fillId="0" borderId="0" xfId="0" applyNumberFormat="1" applyFont="1" applyBorder="1" applyAlignment="1" applyProtection="1">
      <alignment horizontal="center" vertical="top" wrapText="1"/>
    </xf>
    <xf numFmtId="169" fontId="36" fillId="0" borderId="0" xfId="0" applyNumberFormat="1" applyFont="1" applyFill="1" applyAlignment="1" applyProtection="1">
      <alignment horizontal="center" vertical="center" wrapText="1"/>
    </xf>
    <xf numFmtId="167" fontId="32" fillId="4" borderId="4" xfId="1" applyNumberFormat="1" applyFont="1" applyFill="1" applyBorder="1" applyAlignment="1" applyProtection="1">
      <alignment horizontal="center" vertical="center" wrapText="1"/>
      <protection locked="0"/>
    </xf>
    <xf numFmtId="167" fontId="32" fillId="4" borderId="3" xfId="1" applyNumberFormat="1" applyFont="1" applyFill="1" applyBorder="1" applyAlignment="1" applyProtection="1">
      <alignment horizontal="center" vertical="center" wrapText="1"/>
      <protection locked="0"/>
    </xf>
    <xf numFmtId="167" fontId="32" fillId="4" borderId="6" xfId="1" applyNumberFormat="1" applyFont="1" applyFill="1" applyBorder="1" applyAlignment="1" applyProtection="1">
      <alignment horizontal="center" vertical="center" wrapText="1"/>
    </xf>
    <xf numFmtId="167" fontId="35" fillId="4" borderId="24" xfId="1" applyNumberFormat="1" applyFont="1" applyFill="1" applyBorder="1" applyAlignment="1" applyProtection="1">
      <alignment horizontal="center" vertical="center" wrapText="1"/>
    </xf>
    <xf numFmtId="0" fontId="1" fillId="7" borderId="68" xfId="0" applyFont="1" applyFill="1" applyBorder="1" applyAlignment="1" applyProtection="1">
      <alignment horizontal="center" vertical="center"/>
      <protection locked="0"/>
    </xf>
    <xf numFmtId="0" fontId="40" fillId="0" borderId="0" xfId="0" applyFont="1" applyAlignment="1">
      <alignment horizontal="center" vertical="center"/>
    </xf>
    <xf numFmtId="0" fontId="36" fillId="0" borderId="0" xfId="0" applyFont="1" applyAlignment="1">
      <alignment horizontal="center" vertical="center"/>
    </xf>
    <xf numFmtId="0" fontId="36" fillId="0" borderId="7" xfId="0" applyFont="1" applyBorder="1" applyAlignment="1">
      <alignment horizontal="center" vertical="center"/>
    </xf>
    <xf numFmtId="0" fontId="36" fillId="0" borderId="19" xfId="0" applyFont="1" applyBorder="1" applyAlignment="1">
      <alignment horizontal="center" vertical="center"/>
    </xf>
    <xf numFmtId="0" fontId="33" fillId="0" borderId="0" xfId="0" applyFont="1" applyAlignment="1">
      <alignment horizontal="center" vertical="center"/>
    </xf>
    <xf numFmtId="0" fontId="31" fillId="0" borderId="0" xfId="0" applyFont="1" applyAlignment="1" applyProtection="1">
      <alignment horizontal="left" vertical="center"/>
    </xf>
    <xf numFmtId="0" fontId="48" fillId="0" borderId="0" xfId="0" applyFont="1" applyAlignment="1" applyProtection="1">
      <alignment horizontal="center" vertical="center"/>
    </xf>
    <xf numFmtId="0" fontId="33" fillId="0" borderId="0" xfId="1" applyFont="1" applyAlignment="1" applyProtection="1">
      <alignment horizontal="right" vertical="center"/>
    </xf>
    <xf numFmtId="0" fontId="33" fillId="0" borderId="0" xfId="1" applyFont="1" applyFill="1" applyAlignment="1" applyProtection="1">
      <alignment horizontal="right" vertical="center"/>
    </xf>
    <xf numFmtId="0" fontId="36" fillId="0" borderId="7" xfId="0" applyFont="1" applyBorder="1" applyAlignment="1" applyProtection="1">
      <alignment horizontal="center" vertical="center"/>
    </xf>
    <xf numFmtId="0" fontId="36" fillId="0" borderId="19" xfId="0" applyFont="1" applyBorder="1" applyAlignment="1" applyProtection="1">
      <alignment horizontal="center" vertical="center"/>
    </xf>
    <xf numFmtId="164" fontId="32" fillId="0" borderId="0" xfId="1" applyNumberFormat="1" applyFont="1" applyBorder="1" applyAlignment="1" applyProtection="1">
      <alignment horizontal="left" vertical="center"/>
    </xf>
    <xf numFmtId="0" fontId="32" fillId="4" borderId="0" xfId="1" applyFont="1" applyFill="1" applyBorder="1" applyAlignment="1" applyProtection="1">
      <alignment horizontal="left" vertical="center"/>
    </xf>
    <xf numFmtId="0" fontId="51" fillId="4" borderId="0" xfId="1" applyFont="1" applyFill="1" applyBorder="1" applyAlignment="1" applyProtection="1">
      <alignment horizontal="left" vertical="center"/>
    </xf>
    <xf numFmtId="0" fontId="35" fillId="4" borderId="0" xfId="1" applyFont="1" applyFill="1" applyBorder="1" applyAlignment="1" applyProtection="1">
      <alignment horizontal="left" vertical="center"/>
    </xf>
    <xf numFmtId="0" fontId="33" fillId="0" borderId="2" xfId="1" applyFont="1" applyFill="1" applyBorder="1" applyAlignment="1" applyProtection="1">
      <alignment horizontal="right" vertical="center"/>
    </xf>
    <xf numFmtId="0" fontId="30" fillId="0" borderId="0" xfId="0" applyFont="1" applyBorder="1" applyAlignment="1" applyProtection="1">
      <alignment horizontal="left" vertical="center"/>
    </xf>
    <xf numFmtId="175" fontId="30" fillId="0" borderId="0" xfId="0" applyNumberFormat="1" applyFont="1" applyBorder="1" applyAlignment="1" applyProtection="1">
      <alignment horizontal="left" vertical="center"/>
    </xf>
    <xf numFmtId="0" fontId="9" fillId="0" borderId="0" xfId="0" applyFont="1" applyBorder="1" applyAlignment="1" applyProtection="1">
      <alignment horizontal="left" vertical="center"/>
    </xf>
    <xf numFmtId="0" fontId="33" fillId="4" borderId="0" xfId="1" applyFont="1" applyFill="1" applyBorder="1" applyAlignment="1" applyProtection="1">
      <alignment horizontal="right" vertical="center"/>
    </xf>
    <xf numFmtId="175" fontId="33" fillId="4" borderId="0" xfId="1" applyNumberFormat="1" applyFont="1" applyFill="1" applyBorder="1" applyAlignment="1" applyProtection="1">
      <alignment horizontal="right" vertical="center"/>
    </xf>
    <xf numFmtId="0" fontId="32" fillId="0" borderId="1" xfId="0" applyFont="1" applyFill="1" applyBorder="1" applyAlignment="1" applyProtection="1">
      <alignment horizontal="left" vertical="center"/>
    </xf>
    <xf numFmtId="0" fontId="32" fillId="0" borderId="0" xfId="0" applyFont="1" applyFill="1" applyBorder="1" applyAlignment="1" applyProtection="1">
      <alignment horizontal="left" vertical="center"/>
    </xf>
    <xf numFmtId="0" fontId="32" fillId="0" borderId="2" xfId="0" applyFont="1" applyFill="1" applyBorder="1" applyAlignment="1" applyProtection="1">
      <alignment horizontal="left" vertical="center"/>
    </xf>
    <xf numFmtId="0" fontId="32" fillId="0" borderId="1" xfId="0" applyFont="1" applyFill="1" applyBorder="1" applyAlignment="1" applyProtection="1">
      <alignment horizontal="center" vertical="center"/>
      <protection locked="0"/>
    </xf>
    <xf numFmtId="0" fontId="32" fillId="0" borderId="0" xfId="0" applyFont="1" applyFill="1" applyBorder="1" applyAlignment="1" applyProtection="1">
      <alignment horizontal="center" vertical="center"/>
      <protection locked="0"/>
    </xf>
    <xf numFmtId="0" fontId="32" fillId="0" borderId="57" xfId="0" applyFont="1" applyFill="1" applyBorder="1" applyAlignment="1" applyProtection="1">
      <alignment horizontal="center" vertical="center"/>
      <protection locked="0"/>
    </xf>
    <xf numFmtId="0" fontId="32" fillId="0" borderId="1" xfId="0" applyFont="1" applyFill="1" applyBorder="1" applyAlignment="1" applyProtection="1">
      <alignment horizontal="center" vertical="center"/>
    </xf>
    <xf numFmtId="0" fontId="32" fillId="0" borderId="0" xfId="0" applyFont="1" applyFill="1" applyBorder="1" applyAlignment="1" applyProtection="1">
      <alignment horizontal="center" vertical="center"/>
    </xf>
    <xf numFmtId="0" fontId="32" fillId="0" borderId="57" xfId="0" applyFont="1" applyFill="1" applyBorder="1" applyAlignment="1" applyProtection="1">
      <alignment horizontal="center" vertical="center"/>
    </xf>
    <xf numFmtId="0" fontId="32" fillId="4" borderId="1" xfId="0" applyFont="1" applyFill="1" applyBorder="1" applyAlignment="1" applyProtection="1">
      <alignment horizontal="center" vertical="center"/>
    </xf>
    <xf numFmtId="0" fontId="32" fillId="4" borderId="0" xfId="0" applyFont="1" applyFill="1" applyBorder="1" applyAlignment="1" applyProtection="1">
      <alignment horizontal="center" vertical="center"/>
    </xf>
    <xf numFmtId="0" fontId="32" fillId="4" borderId="57" xfId="0" applyFont="1" applyFill="1" applyBorder="1" applyAlignment="1" applyProtection="1">
      <alignment horizontal="center" vertical="center"/>
    </xf>
    <xf numFmtId="0" fontId="33" fillId="0" borderId="1" xfId="0" applyFont="1" applyFill="1" applyBorder="1" applyAlignment="1" applyProtection="1">
      <alignment horizontal="left" vertical="center"/>
    </xf>
    <xf numFmtId="0" fontId="33" fillId="0" borderId="0" xfId="0" applyFont="1" applyFill="1" applyBorder="1" applyAlignment="1" applyProtection="1">
      <alignment horizontal="left" vertical="center"/>
    </xf>
    <xf numFmtId="0" fontId="33" fillId="0" borderId="57" xfId="0" applyFont="1" applyFill="1" applyBorder="1" applyAlignment="1" applyProtection="1">
      <alignment horizontal="left" vertical="center"/>
    </xf>
    <xf numFmtId="0" fontId="55" fillId="8" borderId="0" xfId="0" applyFont="1" applyFill="1" applyAlignment="1" applyProtection="1">
      <alignment horizontal="center" vertical="center"/>
    </xf>
    <xf numFmtId="164" fontId="32" fillId="0" borderId="1" xfId="1" applyNumberFormat="1" applyFont="1" applyBorder="1" applyAlignment="1" applyProtection="1">
      <alignment horizontal="center" vertical="center"/>
    </xf>
    <xf numFmtId="164" fontId="32" fillId="0" borderId="0" xfId="1" applyNumberFormat="1" applyFont="1" applyBorder="1" applyAlignment="1" applyProtection="1">
      <alignment horizontal="center" vertical="center"/>
    </xf>
    <xf numFmtId="164" fontId="32" fillId="0" borderId="57" xfId="1" applyNumberFormat="1" applyFont="1" applyBorder="1" applyAlignment="1" applyProtection="1">
      <alignment horizontal="center" vertical="center"/>
    </xf>
    <xf numFmtId="0" fontId="56" fillId="0" borderId="1" xfId="0" applyFont="1" applyFill="1" applyBorder="1" applyAlignment="1" applyProtection="1">
      <alignment horizontal="left" vertical="center"/>
    </xf>
    <xf numFmtId="0" fontId="56" fillId="0" borderId="0" xfId="0" applyFont="1" applyFill="1" applyBorder="1" applyAlignment="1" applyProtection="1">
      <alignment horizontal="left" vertical="center"/>
    </xf>
    <xf numFmtId="0" fontId="56" fillId="0" borderId="57" xfId="0" applyFont="1" applyFill="1" applyBorder="1" applyAlignment="1" applyProtection="1">
      <alignment horizontal="left" vertical="center"/>
    </xf>
    <xf numFmtId="0" fontId="5" fillId="0" borderId="1" xfId="0" applyFont="1" applyBorder="1" applyAlignment="1" applyProtection="1">
      <alignment horizontal="center" vertical="center"/>
    </xf>
    <xf numFmtId="0" fontId="5" fillId="0" borderId="0" xfId="0" applyFont="1" applyBorder="1" applyAlignment="1" applyProtection="1">
      <alignment horizontal="center" vertical="center"/>
    </xf>
    <xf numFmtId="0" fontId="5" fillId="0" borderId="57" xfId="0" applyFont="1" applyBorder="1" applyAlignment="1" applyProtection="1">
      <alignment horizontal="center" vertical="center"/>
    </xf>
    <xf numFmtId="0" fontId="35" fillId="0" borderId="37" xfId="0" applyFont="1" applyFill="1" applyBorder="1" applyAlignment="1" applyProtection="1">
      <alignment horizontal="left" vertical="center"/>
    </xf>
    <xf numFmtId="0" fontId="35" fillId="0" borderId="43" xfId="0" applyFont="1" applyFill="1" applyBorder="1" applyAlignment="1" applyProtection="1">
      <alignment horizontal="left" vertical="center"/>
    </xf>
    <xf numFmtId="0" fontId="35" fillId="0" borderId="44" xfId="0" applyFont="1" applyFill="1" applyBorder="1" applyAlignment="1" applyProtection="1">
      <alignment horizontal="left" vertical="center"/>
    </xf>
    <xf numFmtId="0" fontId="51" fillId="0" borderId="11" xfId="0" applyFont="1" applyFill="1" applyBorder="1" applyAlignment="1" applyProtection="1">
      <alignment horizontal="left" vertical="center"/>
    </xf>
    <xf numFmtId="0" fontId="51" fillId="0" borderId="0" xfId="0" applyFont="1" applyFill="1" applyBorder="1" applyAlignment="1" applyProtection="1">
      <alignment horizontal="left" vertical="center"/>
    </xf>
    <xf numFmtId="0" fontId="51" fillId="0" borderId="2" xfId="0" applyFont="1" applyFill="1" applyBorder="1" applyAlignment="1" applyProtection="1">
      <alignment horizontal="left" vertical="center"/>
    </xf>
    <xf numFmtId="0" fontId="32" fillId="0" borderId="11" xfId="0" applyFont="1" applyFill="1" applyBorder="1" applyAlignment="1" applyProtection="1">
      <alignment horizontal="left" vertical="center"/>
    </xf>
    <xf numFmtId="0" fontId="32" fillId="0" borderId="37" xfId="0" applyFont="1" applyBorder="1" applyAlignment="1" applyProtection="1">
      <alignment horizontal="left" vertical="top" wrapText="1"/>
      <protection locked="0"/>
    </xf>
    <xf numFmtId="0" fontId="32" fillId="0" borderId="43" xfId="0" applyFont="1" applyBorder="1" applyAlignment="1" applyProtection="1">
      <alignment horizontal="left" vertical="top" wrapText="1"/>
      <protection locked="0"/>
    </xf>
    <xf numFmtId="0" fontId="32" fillId="0" borderId="44" xfId="0" applyFont="1" applyBorder="1" applyAlignment="1" applyProtection="1">
      <alignment horizontal="left" vertical="top" wrapText="1"/>
      <protection locked="0"/>
    </xf>
    <xf numFmtId="0" fontId="32" fillId="0" borderId="1" xfId="0" applyFont="1" applyBorder="1" applyAlignment="1" applyProtection="1">
      <alignment horizontal="left" vertical="top" wrapText="1"/>
      <protection locked="0"/>
    </xf>
    <xf numFmtId="0" fontId="32" fillId="0" borderId="0" xfId="0" applyFont="1" applyBorder="1" applyAlignment="1" applyProtection="1">
      <alignment horizontal="left" vertical="top" wrapText="1"/>
      <protection locked="0"/>
    </xf>
    <xf numFmtId="0" fontId="32" fillId="0" borderId="2" xfId="0" applyFont="1" applyBorder="1" applyAlignment="1" applyProtection="1">
      <alignment horizontal="left" vertical="top" wrapText="1"/>
      <protection locked="0"/>
    </xf>
    <xf numFmtId="0" fontId="32" fillId="0" borderId="25" xfId="0" applyFont="1" applyBorder="1" applyAlignment="1" applyProtection="1">
      <alignment horizontal="left" vertical="top" wrapText="1"/>
      <protection locked="0"/>
    </xf>
    <xf numFmtId="0" fontId="32" fillId="0" borderId="34" xfId="0" applyFont="1" applyBorder="1" applyAlignment="1" applyProtection="1">
      <alignment horizontal="left" vertical="top" wrapText="1"/>
      <protection locked="0"/>
    </xf>
    <xf numFmtId="0" fontId="32" fillId="0" borderId="27" xfId="0" applyFont="1" applyBorder="1" applyAlignment="1" applyProtection="1">
      <alignment horizontal="left" vertical="top" wrapText="1"/>
      <protection locked="0"/>
    </xf>
    <xf numFmtId="0" fontId="35" fillId="0" borderId="7" xfId="0" applyFont="1" applyFill="1" applyBorder="1" applyAlignment="1" applyProtection="1">
      <alignment horizontal="left" vertical="top" wrapText="1"/>
    </xf>
    <xf numFmtId="0" fontId="35" fillId="0" borderId="19" xfId="0" applyFont="1" applyFill="1" applyBorder="1" applyAlignment="1" applyProtection="1">
      <alignment horizontal="left" vertical="top" wrapText="1"/>
    </xf>
    <xf numFmtId="0" fontId="32" fillId="0" borderId="47" xfId="0" applyFont="1" applyFill="1" applyBorder="1" applyAlignment="1" applyProtection="1">
      <alignment horizontal="left" vertical="center"/>
    </xf>
    <xf numFmtId="0" fontId="32" fillId="0" borderId="53" xfId="0" applyFont="1" applyFill="1" applyBorder="1" applyAlignment="1" applyProtection="1">
      <alignment horizontal="left" vertical="center"/>
    </xf>
    <xf numFmtId="0" fontId="32" fillId="0" borderId="54" xfId="0" applyFont="1" applyFill="1" applyBorder="1" applyAlignment="1" applyProtection="1">
      <alignment horizontal="left" vertical="center"/>
    </xf>
    <xf numFmtId="0" fontId="35" fillId="0" borderId="7" xfId="1" applyFont="1" applyBorder="1" applyAlignment="1" applyProtection="1">
      <alignment horizontal="left" vertical="center"/>
    </xf>
    <xf numFmtId="0" fontId="35" fillId="0" borderId="19" xfId="1" applyFont="1" applyBorder="1" applyAlignment="1" applyProtection="1">
      <alignment horizontal="left" vertical="center"/>
    </xf>
    <xf numFmtId="0" fontId="35" fillId="0" borderId="7" xfId="1" applyFont="1" applyFill="1" applyBorder="1" applyAlignment="1" applyProtection="1">
      <alignment horizontal="left" vertical="center"/>
    </xf>
    <xf numFmtId="0" fontId="35" fillId="0" borderId="19" xfId="1" applyFont="1" applyFill="1" applyBorder="1" applyAlignment="1" applyProtection="1">
      <alignment horizontal="left" vertical="center"/>
    </xf>
    <xf numFmtId="0" fontId="43" fillId="0" borderId="7" xfId="0" applyFont="1" applyBorder="1" applyAlignment="1" applyProtection="1">
      <alignment horizontal="left" vertical="center"/>
    </xf>
    <xf numFmtId="0" fontId="43" fillId="0" borderId="19" xfId="0" applyFont="1" applyBorder="1" applyAlignment="1" applyProtection="1">
      <alignment horizontal="left" vertical="center"/>
    </xf>
    <xf numFmtId="0" fontId="33" fillId="0" borderId="34" xfId="0" applyFont="1" applyBorder="1" applyAlignment="1" applyProtection="1">
      <alignment horizontal="left" vertical="top" wrapText="1"/>
    </xf>
    <xf numFmtId="0" fontId="16" fillId="0" borderId="59" xfId="0" applyFont="1" applyBorder="1" applyAlignment="1" applyProtection="1">
      <alignment horizontal="center" vertical="center"/>
    </xf>
    <xf numFmtId="0" fontId="32" fillId="0" borderId="48" xfId="0" applyFont="1" applyFill="1" applyBorder="1" applyAlignment="1" applyProtection="1">
      <alignment horizontal="center" vertical="center"/>
    </xf>
    <xf numFmtId="0" fontId="32" fillId="0" borderId="53" xfId="0" applyFont="1" applyFill="1" applyBorder="1" applyAlignment="1" applyProtection="1">
      <alignment horizontal="center" vertical="center"/>
    </xf>
    <xf numFmtId="0" fontId="32" fillId="0" borderId="56" xfId="0" applyFont="1" applyFill="1" applyBorder="1" applyAlignment="1" applyProtection="1">
      <alignment horizontal="center" vertical="center"/>
    </xf>
    <xf numFmtId="0" fontId="36" fillId="0" borderId="1" xfId="0" applyFont="1" applyBorder="1" applyAlignment="1" applyProtection="1">
      <alignment horizontal="left" vertical="center"/>
    </xf>
    <xf numFmtId="0" fontId="36" fillId="0" borderId="0" xfId="0" applyFont="1" applyBorder="1" applyAlignment="1" applyProtection="1">
      <alignment horizontal="left" vertical="center"/>
    </xf>
    <xf numFmtId="0" fontId="36" fillId="0" borderId="57" xfId="0" applyFont="1" applyBorder="1" applyAlignment="1" applyProtection="1">
      <alignment horizontal="left" vertical="center"/>
    </xf>
  </cellXfs>
  <cellStyles count="4">
    <cellStyle name="Lien hypertexte" xfId="2" builtinId="8"/>
    <cellStyle name="Normal" xfId="0" builtinId="0"/>
    <cellStyle name="Normal 2" xfId="3" xr:uid="{00000000-0005-0000-0000-000002000000}"/>
    <cellStyle name="Normal 3" xfId="1" xr:uid="{00000000-0005-0000-0000-000003000000}"/>
  </cellStyles>
  <dxfs count="49">
    <dxf>
      <fill>
        <patternFill>
          <bgColor rgb="FFFF0000"/>
        </patternFill>
      </fill>
    </dxf>
    <dxf>
      <fill>
        <patternFill>
          <bgColor rgb="FFFF0000"/>
        </patternFill>
      </fill>
    </dxf>
    <dxf>
      <fill>
        <patternFill>
          <bgColor theme="0" tint="-0.14996795556505021"/>
        </patternFill>
      </fill>
    </dxf>
    <dxf>
      <fill>
        <patternFill>
          <bgColor theme="0" tint="-0.14996795556505021"/>
        </patternFill>
      </fill>
    </dxf>
    <dxf>
      <fill>
        <patternFill>
          <bgColor rgb="FFFFFF00"/>
        </patternFill>
      </fill>
    </dxf>
    <dxf>
      <font>
        <color theme="0"/>
      </font>
    </dxf>
    <dxf>
      <fill>
        <patternFill>
          <bgColor theme="0" tint="-0.14996795556505021"/>
        </patternFill>
      </fill>
    </dxf>
    <dxf>
      <fill>
        <patternFill>
          <bgColor theme="0" tint="-0.14996795556505021"/>
        </patternFill>
      </fill>
    </dxf>
    <dxf>
      <fill>
        <patternFill>
          <bgColor theme="0" tint="-0.1499679555650502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14996795556505021"/>
        </patternFill>
      </fill>
    </dxf>
    <dxf>
      <fill>
        <patternFill>
          <bgColor rgb="FFFF0000"/>
        </patternFill>
      </fill>
    </dxf>
    <dxf>
      <font>
        <color auto="1"/>
      </font>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14996795556505021"/>
        </patternFill>
      </fill>
    </dxf>
    <dxf>
      <fill>
        <patternFill>
          <bgColor theme="0" tint="-0.1499679555650502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theme="0"/>
      </font>
    </dxf>
    <dxf>
      <fill>
        <patternFill>
          <bgColor theme="0" tint="-0.14996795556505021"/>
        </patternFill>
      </fill>
    </dxf>
    <dxf>
      <fill>
        <patternFill>
          <bgColor theme="0" tint="-0.14996795556505021"/>
        </patternFill>
      </fill>
    </dxf>
    <dxf>
      <font>
        <color theme="0"/>
      </font>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vertical="center" textRotation="0" indent="0" justifyLastLine="0" readingOrder="0"/>
    </dxf>
    <dxf>
      <border outline="0">
        <top style="medium">
          <color indexed="64"/>
        </top>
      </border>
    </dxf>
    <dxf>
      <font>
        <strike val="0"/>
        <outline val="0"/>
        <shadow val="0"/>
        <u val="none"/>
        <vertAlign val="baseline"/>
        <sz val="10"/>
        <name val="Arial"/>
        <scheme val="none"/>
      </font>
      <fill>
        <patternFill>
          <fgColor indexed="64"/>
        </patternFill>
      </fill>
      <alignment vertical="center" textRotation="0" indent="0" justifyLastLine="0" readingOrder="0"/>
      <border diagonalUp="0" diagonalDown="0" outline="0">
        <top/>
        <bottom/>
      </border>
    </dxf>
    <dxf>
      <font>
        <b/>
        <i val="0"/>
        <strike val="0"/>
        <condense val="0"/>
        <extend val="0"/>
        <outline val="0"/>
        <shadow val="0"/>
        <u val="none"/>
        <vertAlign val="baseline"/>
        <sz val="10"/>
        <color theme="0"/>
        <name val="Arial"/>
        <scheme val="none"/>
      </font>
      <fill>
        <patternFill patternType="solid">
          <fgColor indexed="64"/>
          <bgColor theme="9" tint="-0.249977111117893"/>
        </patternFill>
      </fill>
      <alignment horizontal="center" vertical="center" textRotation="0" wrapText="1" indent="0" justifyLastLine="0" shrinkToFit="1" readingOrder="0"/>
      <border diagonalUp="0" diagonalDown="0" outline="0">
        <left style="thin">
          <color indexed="64"/>
        </left>
        <right style="thin">
          <color indexed="64"/>
        </right>
        <top/>
        <bottom/>
      </border>
    </dxf>
    <dxf>
      <font>
        <sz val="10"/>
      </font>
    </dxf>
    <dxf>
      <font>
        <name val="Arial"/>
        <scheme val="none"/>
      </font>
    </dxf>
  </dxfs>
  <tableStyles count="0" defaultTableStyle="TableStyleMedium9" defaultPivotStyle="PivotStyleLight16"/>
  <colors>
    <mruColors>
      <color rgb="FFFF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4</xdr:col>
      <xdr:colOff>312420</xdr:colOff>
      <xdr:row>3</xdr:row>
      <xdr:rowOff>114300</xdr:rowOff>
    </xdr:from>
    <xdr:to>
      <xdr:col>7</xdr:col>
      <xdr:colOff>1135380</xdr:colOff>
      <xdr:row>11</xdr:row>
      <xdr:rowOff>83820</xdr:rowOff>
    </xdr:to>
    <xdr:sp macro="" textlink="">
      <xdr:nvSpPr>
        <xdr:cNvPr id="5" name="Rectangle à coins arrondis 4">
          <a:extLst>
            <a:ext uri="{FF2B5EF4-FFF2-40B4-BE49-F238E27FC236}">
              <a16:creationId xmlns:a16="http://schemas.microsoft.com/office/drawing/2014/main" id="{00000000-0008-0000-0900-000005000000}"/>
            </a:ext>
          </a:extLst>
        </xdr:cNvPr>
        <xdr:cNvSpPr/>
      </xdr:nvSpPr>
      <xdr:spPr>
        <a:xfrm>
          <a:off x="4152900" y="678180"/>
          <a:ext cx="2598420" cy="1371600"/>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t"/>
        <a:lstStyle/>
        <a:p>
          <a:pPr algn="l"/>
          <a:endParaRPr lang="fr-FR" sz="800" baseline="0">
            <a:solidFill>
              <a:sysClr val="windowText" lastClr="000000"/>
            </a:solidFill>
            <a:latin typeface="Arial" pitchFamily="34" charset="0"/>
            <a:cs typeface="Arial" pitchFamily="34" charset="0"/>
          </a:endParaRPr>
        </a:p>
      </xdr:txBody>
    </xdr:sp>
    <xdr:clientData/>
  </xdr:twoCellAnchor>
  <xdr:twoCellAnchor>
    <xdr:from>
      <xdr:col>0</xdr:col>
      <xdr:colOff>68580</xdr:colOff>
      <xdr:row>2</xdr:row>
      <xdr:rowOff>76200</xdr:rowOff>
    </xdr:from>
    <xdr:to>
      <xdr:col>2</xdr:col>
      <xdr:colOff>312420</xdr:colOff>
      <xdr:row>11</xdr:row>
      <xdr:rowOff>83820</xdr:rowOff>
    </xdr:to>
    <xdr:sp macro="" textlink="">
      <xdr:nvSpPr>
        <xdr:cNvPr id="2" name="Rectangle à coins arrondis 1">
          <a:extLst>
            <a:ext uri="{FF2B5EF4-FFF2-40B4-BE49-F238E27FC236}">
              <a16:creationId xmlns:a16="http://schemas.microsoft.com/office/drawing/2014/main" id="{00000000-0008-0000-0900-000002000000}"/>
            </a:ext>
          </a:extLst>
        </xdr:cNvPr>
        <xdr:cNvSpPr/>
      </xdr:nvSpPr>
      <xdr:spPr>
        <a:xfrm>
          <a:off x="68580" y="441960"/>
          <a:ext cx="3162300" cy="1607820"/>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t"/>
        <a:lstStyle/>
        <a:p>
          <a:pPr algn="l"/>
          <a:r>
            <a:rPr lang="fr-FR" sz="1400">
              <a:solidFill>
                <a:sysClr val="windowText" lastClr="000000"/>
              </a:solidFill>
              <a:latin typeface="Wide Latin" pitchFamily="18" charset="0"/>
            </a:rPr>
            <a:t>Madatrade</a:t>
          </a:r>
          <a:r>
            <a:rPr lang="fr-FR" sz="1400" baseline="0">
              <a:solidFill>
                <a:sysClr val="windowText" lastClr="000000"/>
              </a:solidFill>
              <a:latin typeface="Wide Latin" pitchFamily="18" charset="0"/>
            </a:rPr>
            <a:t> Ltd.</a:t>
          </a:r>
        </a:p>
        <a:p>
          <a:pPr algn="l"/>
          <a:r>
            <a:rPr lang="fr-FR" sz="1000">
              <a:solidFill>
                <a:sysClr val="windowText" lastClr="000000"/>
              </a:solidFill>
              <a:latin typeface="Arial" pitchFamily="34" charset="0"/>
              <a:cs typeface="Arial" pitchFamily="34" charset="0"/>
            </a:rPr>
            <a:t>Super U Complex</a:t>
          </a:r>
        </a:p>
        <a:p>
          <a:pPr algn="l"/>
          <a:r>
            <a:rPr lang="fr-FR" sz="1000">
              <a:solidFill>
                <a:sysClr val="windowText" lastClr="000000"/>
              </a:solidFill>
              <a:latin typeface="Arial" pitchFamily="34" charset="0"/>
              <a:cs typeface="Arial" pitchFamily="34" charset="0"/>
            </a:rPr>
            <a:t>Grand Baie</a:t>
          </a:r>
        </a:p>
        <a:p>
          <a:pPr algn="l"/>
          <a:r>
            <a:rPr lang="fr-FR" sz="1000">
              <a:solidFill>
                <a:sysClr val="windowText" lastClr="000000"/>
              </a:solidFill>
              <a:latin typeface="Arial" pitchFamily="34" charset="0"/>
              <a:cs typeface="Arial" pitchFamily="34" charset="0"/>
            </a:rPr>
            <a:t>Mauritius</a:t>
          </a:r>
        </a:p>
        <a:p>
          <a:pPr algn="l"/>
          <a:endParaRPr lang="fr-FR" sz="800">
            <a:solidFill>
              <a:sysClr val="windowText" lastClr="000000"/>
            </a:solidFill>
            <a:latin typeface="Arial" pitchFamily="34" charset="0"/>
            <a:cs typeface="Arial" pitchFamily="34" charset="0"/>
          </a:endParaRPr>
        </a:p>
        <a:p>
          <a:pPr algn="l"/>
          <a:r>
            <a:rPr lang="fr-FR" sz="1000">
              <a:solidFill>
                <a:sysClr val="windowText" lastClr="000000"/>
              </a:solidFill>
              <a:latin typeface="Arial" pitchFamily="34" charset="0"/>
              <a:cs typeface="Arial" pitchFamily="34" charset="0"/>
            </a:rPr>
            <a:t>Compagny Registration  N°</a:t>
          </a:r>
          <a:r>
            <a:rPr lang="fr-FR" sz="1000" baseline="0">
              <a:solidFill>
                <a:sysClr val="windowText" lastClr="000000"/>
              </a:solidFill>
              <a:latin typeface="Arial" pitchFamily="34" charset="0"/>
              <a:cs typeface="Arial" pitchFamily="34" charset="0"/>
            </a:rPr>
            <a:t>157924</a:t>
          </a:r>
        </a:p>
        <a:p>
          <a:pPr algn="l"/>
          <a:endParaRPr lang="fr-FR" sz="800" baseline="0">
            <a:solidFill>
              <a:sysClr val="windowText" lastClr="000000"/>
            </a:solidFill>
            <a:latin typeface="Arial" pitchFamily="34" charset="0"/>
            <a:cs typeface="Arial" pitchFamily="34" charset="0"/>
          </a:endParaRPr>
        </a:p>
        <a:p>
          <a:pPr algn="l"/>
          <a:r>
            <a:rPr lang="fr-FR" sz="1000" baseline="0">
              <a:solidFill>
                <a:sysClr val="windowText" lastClr="000000"/>
              </a:solidFill>
              <a:latin typeface="Arial" pitchFamily="34" charset="0"/>
              <a:cs typeface="Arial" pitchFamily="34" charset="0"/>
            </a:rPr>
            <a:t>Tel  : (230) 263 22 41</a:t>
          </a:r>
        </a:p>
        <a:p>
          <a:pPr algn="l"/>
          <a:r>
            <a:rPr lang="fr-FR" sz="1000" baseline="0">
              <a:solidFill>
                <a:sysClr val="windowText" lastClr="000000"/>
              </a:solidFill>
              <a:latin typeface="Arial" pitchFamily="34" charset="0"/>
              <a:cs typeface="Arial" pitchFamily="34" charset="0"/>
            </a:rPr>
            <a:t>Fax : (230) 263 28 67</a:t>
          </a:r>
          <a:endParaRPr lang="fr-FR" sz="1000">
            <a:solidFill>
              <a:sysClr val="windowText" lastClr="000000"/>
            </a:solidFill>
            <a:latin typeface="Arial" pitchFamily="34" charset="0"/>
            <a:cs typeface="Arial" pitchFamily="34" charset="0"/>
          </a:endParaRPr>
        </a:p>
      </xdr:txBody>
    </xdr:sp>
    <xdr:clientData/>
  </xdr:twoCellAnchor>
  <xdr:twoCellAnchor>
    <xdr:from>
      <xdr:col>10</xdr:col>
      <xdr:colOff>914400</xdr:colOff>
      <xdr:row>11</xdr:row>
      <xdr:rowOff>121920</xdr:rowOff>
    </xdr:from>
    <xdr:to>
      <xdr:col>11</xdr:col>
      <xdr:colOff>312420</xdr:colOff>
      <xdr:row>18</xdr:row>
      <xdr:rowOff>60960</xdr:rowOff>
    </xdr:to>
    <xdr:sp macro="" textlink="">
      <xdr:nvSpPr>
        <xdr:cNvPr id="4" name="Légende encadrée 1 3">
          <a:extLst>
            <a:ext uri="{FF2B5EF4-FFF2-40B4-BE49-F238E27FC236}">
              <a16:creationId xmlns:a16="http://schemas.microsoft.com/office/drawing/2014/main" id="{00000000-0008-0000-0900-000004000000}"/>
            </a:ext>
          </a:extLst>
        </xdr:cNvPr>
        <xdr:cNvSpPr/>
      </xdr:nvSpPr>
      <xdr:spPr>
        <a:xfrm>
          <a:off x="9624060" y="2042160"/>
          <a:ext cx="2179320" cy="1424940"/>
        </a:xfrm>
        <a:prstGeom prst="borderCallout1">
          <a:avLst>
            <a:gd name="adj1" fmla="val 2172"/>
            <a:gd name="adj2" fmla="val 1108"/>
            <a:gd name="adj3" fmla="val -70923"/>
            <a:gd name="adj4" fmla="val -49403"/>
          </a:avLst>
        </a:prstGeom>
      </xdr:spPr>
      <xdr:style>
        <a:lnRef idx="2">
          <a:schemeClr val="dk1"/>
        </a:lnRef>
        <a:fillRef idx="1">
          <a:schemeClr val="lt1"/>
        </a:fillRef>
        <a:effectRef idx="0">
          <a:schemeClr val="dk1"/>
        </a:effectRef>
        <a:fontRef idx="minor">
          <a:schemeClr val="dk1"/>
        </a:fontRef>
      </xdr:style>
      <xdr:txBody>
        <a:bodyPr vertOverflow="clip" rtlCol="0" anchor="ctr"/>
        <a:lstStyle/>
        <a:p>
          <a:pPr algn="ctr"/>
          <a:r>
            <a:rPr lang="fr-FR" sz="2000" b="1">
              <a:latin typeface="Arial" pitchFamily="34" charset="0"/>
              <a:cs typeface="Arial" pitchFamily="34" charset="0"/>
            </a:rPr>
            <a:t>Une fois renseigné</a:t>
          </a:r>
        </a:p>
        <a:p>
          <a:pPr algn="ctr"/>
          <a:r>
            <a:rPr lang="fr-FR" sz="2000" b="1">
              <a:latin typeface="Arial" pitchFamily="34" charset="0"/>
              <a:cs typeface="Arial" pitchFamily="34" charset="0"/>
            </a:rPr>
            <a:t>Allez</a:t>
          </a:r>
          <a:r>
            <a:rPr lang="fr-FR" sz="2000" b="1" baseline="0">
              <a:latin typeface="Arial" pitchFamily="34" charset="0"/>
              <a:cs typeface="Arial" pitchFamily="34" charset="0"/>
            </a:rPr>
            <a:t> à l'onglet Packing List</a:t>
          </a:r>
        </a:p>
        <a:p>
          <a:pPr algn="ctr"/>
          <a:endParaRPr lang="fr-FR" sz="1100"/>
        </a:p>
      </xdr:txBody>
    </xdr:sp>
    <xdr:clientData/>
  </xdr:twoCellAnchor>
  <mc:AlternateContent xmlns:mc="http://schemas.openxmlformats.org/markup-compatibility/2006">
    <mc:Choice xmlns:a14="http://schemas.microsoft.com/office/drawing/2010/main" Requires="a14">
      <xdr:twoCellAnchor>
        <xdr:from>
          <xdr:col>4</xdr:col>
          <xdr:colOff>323850</xdr:colOff>
          <xdr:row>46</xdr:row>
          <xdr:rowOff>161925</xdr:rowOff>
        </xdr:from>
        <xdr:to>
          <xdr:col>7</xdr:col>
          <xdr:colOff>609600</xdr:colOff>
          <xdr:row>51</xdr:row>
          <xdr:rowOff>19050</xdr:rowOff>
        </xdr:to>
        <xdr:sp macro="" textlink="">
          <xdr:nvSpPr>
            <xdr:cNvPr id="1043" name="Button 19" hidden="1">
              <a:extLst>
                <a:ext uri="{63B3BB69-23CF-44E3-9099-C40C66FF867C}">
                  <a14:compatExt spid="_x0000_s1043"/>
                </a:ext>
                <a:ext uri="{FF2B5EF4-FFF2-40B4-BE49-F238E27FC236}">
                  <a16:creationId xmlns:a16="http://schemas.microsoft.com/office/drawing/2014/main" id="{00000000-0008-0000-0900-00001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600" b="1" i="0" u="none" strike="noStrike" baseline="0">
                  <a:solidFill>
                    <a:srgbClr val="000000"/>
                  </a:solidFill>
                  <a:latin typeface="Arial"/>
                  <a:cs typeface="Arial"/>
                </a:rPr>
                <a:t>Aperçu / Impression</a:t>
              </a:r>
            </a:p>
            <a:p>
              <a:pPr algn="ctr" rtl="0">
                <a:defRPr sz="1000"/>
              </a:pPr>
              <a:r>
                <a:rPr lang="fr-FR" sz="1600" b="1" i="0" u="none" strike="noStrike" baseline="0">
                  <a:solidFill>
                    <a:srgbClr val="000000"/>
                  </a:solidFill>
                  <a:latin typeface="Arial"/>
                  <a:cs typeface="Arial"/>
                </a:rPr>
                <a:t>Facture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8</xdr:col>
          <xdr:colOff>161925</xdr:colOff>
          <xdr:row>45</xdr:row>
          <xdr:rowOff>9525</xdr:rowOff>
        </xdr:from>
        <xdr:to>
          <xdr:col>10</xdr:col>
          <xdr:colOff>561975</xdr:colOff>
          <xdr:row>51</xdr:row>
          <xdr:rowOff>47625</xdr:rowOff>
        </xdr:to>
        <xdr:sp macro="" textlink="">
          <xdr:nvSpPr>
            <xdr:cNvPr id="1068" name="Button 44" hidden="1">
              <a:extLst>
                <a:ext uri="{63B3BB69-23CF-44E3-9099-C40C66FF867C}">
                  <a14:compatExt spid="_x0000_s1068"/>
                </a:ext>
                <a:ext uri="{FF2B5EF4-FFF2-40B4-BE49-F238E27FC236}">
                  <a16:creationId xmlns:a16="http://schemas.microsoft.com/office/drawing/2014/main" id="{00000000-0008-0000-0900-00002C0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800" b="1" i="0" u="none" strike="noStrike" baseline="0">
                  <a:solidFill>
                    <a:srgbClr val="000000"/>
                  </a:solidFill>
                  <a:latin typeface="Arial"/>
                  <a:cs typeface="Arial"/>
                </a:rPr>
                <a:t>-1-                  Enregistrer              La Facture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xdr:col>
          <xdr:colOff>1038225</xdr:colOff>
          <xdr:row>44</xdr:row>
          <xdr:rowOff>200025</xdr:rowOff>
        </xdr:from>
        <xdr:to>
          <xdr:col>12</xdr:col>
          <xdr:colOff>542925</xdr:colOff>
          <xdr:row>51</xdr:row>
          <xdr:rowOff>47625</xdr:rowOff>
        </xdr:to>
        <xdr:sp macro="" textlink="">
          <xdr:nvSpPr>
            <xdr:cNvPr id="1141" name="Button 117" hidden="1">
              <a:extLst>
                <a:ext uri="{63B3BB69-23CF-44E3-9099-C40C66FF867C}">
                  <a14:compatExt spid="_x0000_s1141"/>
                </a:ext>
                <a:ext uri="{FF2B5EF4-FFF2-40B4-BE49-F238E27FC236}">
                  <a16:creationId xmlns:a16="http://schemas.microsoft.com/office/drawing/2014/main" id="{00000000-0008-0000-0900-000075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800" b="1" i="0" u="none" strike="noStrike" baseline="0">
                  <a:solidFill>
                    <a:srgbClr val="000000"/>
                  </a:solidFill>
                  <a:latin typeface="Calibri"/>
                  <a:cs typeface="Calibri"/>
                </a:rPr>
                <a:t>-3-                             Sauvegarde des Données      et Réinitialisation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38100</xdr:colOff>
          <xdr:row>7</xdr:row>
          <xdr:rowOff>142875</xdr:rowOff>
        </xdr:from>
        <xdr:to>
          <xdr:col>10</xdr:col>
          <xdr:colOff>47625</xdr:colOff>
          <xdr:row>10</xdr:row>
          <xdr:rowOff>66675</xdr:rowOff>
        </xdr:to>
        <xdr:sp macro="" textlink="">
          <xdr:nvSpPr>
            <xdr:cNvPr id="1143" name="Button 119" hidden="1">
              <a:extLst>
                <a:ext uri="{63B3BB69-23CF-44E3-9099-C40C66FF867C}">
                  <a14:compatExt spid="_x0000_s1143"/>
                </a:ext>
                <a:ext uri="{FF2B5EF4-FFF2-40B4-BE49-F238E27FC236}">
                  <a16:creationId xmlns:a16="http://schemas.microsoft.com/office/drawing/2014/main" id="{00000000-0008-0000-0900-000077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0" u="none" strike="noStrike" baseline="0">
                  <a:solidFill>
                    <a:srgbClr val="000000"/>
                  </a:solidFill>
                  <a:latin typeface="Arial"/>
                  <a:cs typeface="Arial"/>
                </a:rPr>
                <a:t>Création Doc Number</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52</xdr:row>
          <xdr:rowOff>142875</xdr:rowOff>
        </xdr:from>
        <xdr:to>
          <xdr:col>10</xdr:col>
          <xdr:colOff>542925</xdr:colOff>
          <xdr:row>58</xdr:row>
          <xdr:rowOff>38100</xdr:rowOff>
        </xdr:to>
        <xdr:sp macro="" textlink="">
          <xdr:nvSpPr>
            <xdr:cNvPr id="1146" name="Button 122" hidden="1">
              <a:extLst>
                <a:ext uri="{63B3BB69-23CF-44E3-9099-C40C66FF867C}">
                  <a14:compatExt spid="_x0000_s1146"/>
                </a:ext>
                <a:ext uri="{FF2B5EF4-FFF2-40B4-BE49-F238E27FC236}">
                  <a16:creationId xmlns:a16="http://schemas.microsoft.com/office/drawing/2014/main" id="{00000000-0008-0000-0900-00007A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Enregistrer La Packing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81</xdr:row>
          <xdr:rowOff>66675</xdr:rowOff>
        </xdr:from>
        <xdr:to>
          <xdr:col>14</xdr:col>
          <xdr:colOff>38100</xdr:colOff>
          <xdr:row>88</xdr:row>
          <xdr:rowOff>57150</xdr:rowOff>
        </xdr:to>
        <xdr:sp macro="" textlink="">
          <xdr:nvSpPr>
            <xdr:cNvPr id="2084" name="Button 36" hidden="1">
              <a:extLst>
                <a:ext uri="{63B3BB69-23CF-44E3-9099-C40C66FF867C}">
                  <a14:compatExt spid="_x0000_s2084"/>
                </a:ext>
                <a:ext uri="{FF2B5EF4-FFF2-40B4-BE49-F238E27FC236}">
                  <a16:creationId xmlns:a16="http://schemas.microsoft.com/office/drawing/2014/main" id="{00000000-0008-0000-0A00-000024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800" b="1" i="0" u="none" strike="noStrike" baseline="0">
                  <a:solidFill>
                    <a:srgbClr val="000000"/>
                  </a:solidFill>
                  <a:latin typeface="Arial"/>
                  <a:cs typeface="Arial"/>
                </a:rPr>
                <a:t>-1-                             Aperçu / Impression      La Packing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9525</xdr:colOff>
          <xdr:row>89</xdr:row>
          <xdr:rowOff>28575</xdr:rowOff>
        </xdr:from>
        <xdr:to>
          <xdr:col>14</xdr:col>
          <xdr:colOff>47625</xdr:colOff>
          <xdr:row>95</xdr:row>
          <xdr:rowOff>161925</xdr:rowOff>
        </xdr:to>
        <xdr:sp macro="" textlink="">
          <xdr:nvSpPr>
            <xdr:cNvPr id="2094" name="Button 46" hidden="1">
              <a:extLst>
                <a:ext uri="{63B3BB69-23CF-44E3-9099-C40C66FF867C}">
                  <a14:compatExt spid="_x0000_s2094"/>
                </a:ext>
                <a:ext uri="{FF2B5EF4-FFF2-40B4-BE49-F238E27FC236}">
                  <a16:creationId xmlns:a16="http://schemas.microsoft.com/office/drawing/2014/main" id="{00000000-0008-0000-0A00-00002E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800" b="1" i="0" u="none" strike="noStrike" baseline="0">
                  <a:solidFill>
                    <a:srgbClr val="000000"/>
                  </a:solidFill>
                  <a:latin typeface="Arial"/>
                  <a:cs typeface="Arial"/>
                </a:rPr>
                <a:t>-2-</a:t>
              </a:r>
            </a:p>
            <a:p>
              <a:pPr algn="ctr" rtl="0">
                <a:defRPr sz="1000"/>
              </a:pPr>
              <a:r>
                <a:rPr lang="fr-FR" sz="1800" b="1" i="0" u="none" strike="noStrike" baseline="0">
                  <a:solidFill>
                    <a:srgbClr val="000000"/>
                  </a:solidFill>
                  <a:latin typeface="Arial"/>
                  <a:cs typeface="Arial"/>
                </a:rPr>
                <a:t>Enregistrer                     La Packing- List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HRIST~1/AppData/Local/Temp/Packing%20List%20Gemme%20Stones%20V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Liste"/>
      <sheetName val="Feuil2"/>
    </sheetNames>
    <sheetDataSet>
      <sheetData sheetId="0"/>
      <sheetData sheetId="1">
        <row r="28">
          <cell r="B28" t="str">
            <v>FOB</v>
          </cell>
          <cell r="C28" t="str">
            <v>Amethyst</v>
          </cell>
        </row>
        <row r="29">
          <cell r="B29" t="str">
            <v>CFR</v>
          </cell>
          <cell r="C29" t="str">
            <v>Apatite</v>
          </cell>
        </row>
        <row r="30">
          <cell r="B30" t="str">
            <v>CIF</v>
          </cell>
          <cell r="C30" t="str">
            <v>Aquamarine</v>
          </cell>
        </row>
        <row r="31">
          <cell r="C31" t="str">
            <v>Citrine</v>
          </cell>
        </row>
        <row r="32">
          <cell r="C32" t="str">
            <v>Garnet</v>
          </cell>
        </row>
        <row r="33">
          <cell r="C33" t="str">
            <v>Cordierite / Iolite</v>
          </cell>
        </row>
        <row r="34">
          <cell r="C34" t="str">
            <v>Labradorite / Spectrolite</v>
          </cell>
        </row>
      </sheetData>
      <sheetData sheetId="2"/>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hristophe" refreshedDate="43313.554125925926" createdVersion="3" refreshedVersion="3" minRefreshableVersion="3" recordCount="31" xr:uid="{00000000-000A-0000-FFFF-FFFF00000000}">
  <cacheSource type="worksheet">
    <worksheetSource ref="B2:N9732" sheet="Tableau des Données"/>
  </cacheSource>
  <cacheFields count="13">
    <cacheField name="Description" numFmtId="0">
      <sharedItems containsBlank="1" count="13">
        <s v="Garnet"/>
        <s v="Vanille Black Gourmet (Grade A) "/>
        <s v="Boite Rouge"/>
        <s v="Amethyst"/>
        <s v="Citrine"/>
        <s v="Labradorite / Spectrolite"/>
        <s v="Cordierite / Iolite"/>
        <s v="Aquamarine"/>
        <m/>
        <s v="Boite Noire" u="1"/>
        <s v="Vanille Cuts " u="1"/>
        <s v="Apatite" u="1"/>
        <s v="Vanille Brown or TK " u="1"/>
      </sharedItems>
    </cacheField>
    <cacheField name="Famille" numFmtId="0">
      <sharedItems containsBlank="1" count="5">
        <s v="MIN"/>
        <s v="SPI"/>
        <s v="ART"/>
        <s v=" "/>
        <m/>
      </sharedItems>
    </cacheField>
    <cacheField name="U  Vente" numFmtId="0">
      <sharedItems containsBlank="1"/>
    </cacheField>
    <cacheField name="Qty     U" numFmtId="0">
      <sharedItems containsBlank="1" containsMixedTypes="1" containsNumber="1" containsInteger="1" minValue="1" maxValue="8"/>
    </cacheField>
    <cacheField name="Net Weight  Kg    U" numFmtId="0">
      <sharedItems containsBlank="1" containsMixedTypes="1" containsNumber="1" minValue="1.234" maxValue="57.23"/>
    </cacheField>
    <cacheField name="Unit       Price        " numFmtId="0">
      <sharedItems containsString="0" containsBlank="1" containsNumber="1" minValue="0.69" maxValue="537"/>
    </cacheField>
    <cacheField name="Total    Amount" numFmtId="0">
      <sharedItems containsBlank="1" containsMixedTypes="1" containsNumber="1" minValue="96" maxValue="30732.51"/>
    </cacheField>
    <cacheField name="CO / CR" numFmtId="0">
      <sharedItems containsBlank="1" count="3">
        <s v="CO"/>
        <s v=""/>
        <m/>
      </sharedItems>
    </cacheField>
    <cacheField name="Mois" numFmtId="0">
      <sharedItems containsBlank="1" count="3">
        <s v="08"/>
        <s v=""/>
        <m/>
      </sharedItems>
    </cacheField>
    <cacheField name="Année" numFmtId="0">
      <sharedItems containsBlank="1" count="3">
        <s v="2018"/>
        <s v=""/>
        <m/>
      </sharedItems>
    </cacheField>
    <cacheField name="Client" numFmtId="0">
      <sharedItems containsBlank="1" count="5">
        <s v="06"/>
        <s v="03"/>
        <s v=""/>
        <m/>
        <s v="04" u="1"/>
      </sharedItems>
    </cacheField>
    <cacheField name="Devise" numFmtId="0">
      <sharedItems containsBlank="1" count="3">
        <s v="USD - US Dollar"/>
        <s v=" "/>
        <m/>
      </sharedItems>
    </cacheField>
    <cacheField name="Doc Number"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1">
  <r>
    <x v="0"/>
    <x v="0"/>
    <s v="Gr"/>
    <n v="4"/>
    <n v="17.709"/>
    <n v="0.69"/>
    <n v="12219.21"/>
    <x v="0"/>
    <x v="0"/>
    <x v="0"/>
    <x v="0"/>
    <x v="0"/>
    <s v="CO 06 180801 110353"/>
  </r>
  <r>
    <x v="1"/>
    <x v="1"/>
    <s v="Kg"/>
    <n v="1"/>
    <n v="57.23"/>
    <n v="537"/>
    <n v="30732.51"/>
    <x v="0"/>
    <x v="0"/>
    <x v="0"/>
    <x v="0"/>
    <x v="0"/>
    <s v="CO 06 180801 110353"/>
  </r>
  <r>
    <x v="2"/>
    <x v="2"/>
    <s v="U"/>
    <n v="8"/>
    <n v="2"/>
    <n v="12"/>
    <n v="96"/>
    <x v="0"/>
    <x v="0"/>
    <x v="0"/>
    <x v="0"/>
    <x v="0"/>
    <s v="CO 06 180801 110353"/>
  </r>
  <r>
    <x v="3"/>
    <x v="0"/>
    <s v="Gr"/>
    <n v="4"/>
    <n v="17.643000000000001"/>
    <n v="1.36"/>
    <n v="23994.480000000003"/>
    <x v="0"/>
    <x v="0"/>
    <x v="0"/>
    <x v="1"/>
    <x v="0"/>
    <s v="CO 03 180801 130751"/>
  </r>
  <r>
    <x v="4"/>
    <x v="0"/>
    <s v="Gr"/>
    <n v="4"/>
    <n v="18.706"/>
    <n v="0.91"/>
    <n v="17022.46"/>
    <x v="0"/>
    <x v="0"/>
    <x v="0"/>
    <x v="1"/>
    <x v="0"/>
    <s v="CO 03 180801 130751"/>
  </r>
  <r>
    <x v="0"/>
    <x v="0"/>
    <s v="Gr"/>
    <n v="4"/>
    <n v="18.425999999999998"/>
    <n v="0.69"/>
    <n v="12713.939999999997"/>
    <x v="0"/>
    <x v="0"/>
    <x v="0"/>
    <x v="1"/>
    <x v="0"/>
    <s v="CO 03 180801 130751"/>
  </r>
  <r>
    <x v="5"/>
    <x v="0"/>
    <s v="Kg"/>
    <n v="1"/>
    <n v="19.756"/>
    <n v="6"/>
    <n v="118.536"/>
    <x v="0"/>
    <x v="0"/>
    <x v="0"/>
    <x v="1"/>
    <x v="0"/>
    <s v="CO 03 180801 130751"/>
  </r>
  <r>
    <x v="6"/>
    <x v="0"/>
    <s v="Gr"/>
    <n v="4"/>
    <n v="18.207999999999998"/>
    <n v="0.91"/>
    <n v="16569.28"/>
    <x v="0"/>
    <x v="0"/>
    <x v="0"/>
    <x v="1"/>
    <x v="0"/>
    <s v="CO 03 180801 130751"/>
  </r>
  <r>
    <x v="7"/>
    <x v="0"/>
    <s v="Gr"/>
    <n v="1"/>
    <n v="1.234"/>
    <n v="18.18"/>
    <n v="22434.12"/>
    <x v="0"/>
    <x v="0"/>
    <x v="0"/>
    <x v="1"/>
    <x v="0"/>
    <s v="CO 03 180801 130751"/>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4"/>
    <m/>
    <m/>
    <m/>
    <m/>
    <m/>
    <x v="2"/>
    <x v="2"/>
    <x v="2"/>
    <x v="3"/>
    <x v="2"/>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600-000000000000}" name="Tableau croisé dynamique1" cacheId="0" applyNumberFormats="0" applyBorderFormats="0" applyFontFormats="0" applyPatternFormats="0" applyAlignmentFormats="0" applyWidthHeightFormats="1" dataCaption="Valeurs" updatedVersion="3" minRefreshableVersion="3" showCalcMbrs="0" useAutoFormatting="1" itemPrintTitles="1" createdVersion="3" indent="0" outline="1" outlineData="1" multipleFieldFilters="0">
  <location ref="A8:C19" firstHeaderRow="1" firstDataRow="2" firstDataCol="1" rowPageCount="6" colPageCount="1"/>
  <pivotFields count="13">
    <pivotField axis="axisRow" showAll="0" sortType="ascending">
      <items count="14">
        <item x="3"/>
        <item m="1" x="11"/>
        <item x="7"/>
        <item m="1" x="9"/>
        <item x="2"/>
        <item x="4"/>
        <item x="6"/>
        <item x="0"/>
        <item x="5"/>
        <item x="1"/>
        <item m="1" x="12"/>
        <item m="1" x="10"/>
        <item x="8"/>
        <item t="default"/>
      </items>
    </pivotField>
    <pivotField axis="axisPage" showAll="0">
      <items count="6">
        <item x="0"/>
        <item x="4"/>
        <item x="3"/>
        <item x="1"/>
        <item x="2"/>
        <item t="default"/>
      </items>
    </pivotField>
    <pivotField showAll="0"/>
    <pivotField showAll="0"/>
    <pivotField dataField="1" showAll="0"/>
    <pivotField showAll="0"/>
    <pivotField dataField="1" showAll="0"/>
    <pivotField axis="axisPage" showAll="0">
      <items count="4">
        <item x="0"/>
        <item x="2"/>
        <item x="1"/>
        <item t="default"/>
      </items>
    </pivotField>
    <pivotField axis="axisPage" showAll="0">
      <items count="4">
        <item x="1"/>
        <item x="0"/>
        <item x="2"/>
        <item t="default"/>
      </items>
    </pivotField>
    <pivotField axis="axisPage" showAll="0">
      <items count="4">
        <item x="1"/>
        <item x="0"/>
        <item x="2"/>
        <item t="default"/>
      </items>
    </pivotField>
    <pivotField axis="axisPage" showAll="0">
      <items count="6">
        <item x="3"/>
        <item x="1"/>
        <item x="2"/>
        <item x="0"/>
        <item m="1" x="4"/>
        <item t="default"/>
      </items>
    </pivotField>
    <pivotField axis="axisPage" showAll="0" defaultSubtotal="0">
      <items count="3">
        <item x="0"/>
        <item x="2"/>
        <item x="1"/>
      </items>
    </pivotField>
    <pivotField showAll="0"/>
  </pivotFields>
  <rowFields count="1">
    <field x="0"/>
  </rowFields>
  <rowItems count="10">
    <i>
      <x/>
    </i>
    <i>
      <x v="2"/>
    </i>
    <i>
      <x v="4"/>
    </i>
    <i>
      <x v="5"/>
    </i>
    <i>
      <x v="6"/>
    </i>
    <i>
      <x v="7"/>
    </i>
    <i>
      <x v="8"/>
    </i>
    <i>
      <x v="9"/>
    </i>
    <i>
      <x v="12"/>
    </i>
    <i t="grand">
      <x/>
    </i>
  </rowItems>
  <colFields count="1">
    <field x="-2"/>
  </colFields>
  <colItems count="2">
    <i>
      <x/>
    </i>
    <i i="1">
      <x v="1"/>
    </i>
  </colItems>
  <pageFields count="6">
    <pageField fld="10" hier="-1"/>
    <pageField fld="1" hier="-1"/>
    <pageField fld="7" hier="-1"/>
    <pageField fld="11" hier="-1"/>
    <pageField fld="9" hier="-1"/>
    <pageField fld="8" hier="-1"/>
  </pageFields>
  <dataFields count="2">
    <dataField name="Somme de Total    Amount" fld="6" baseField="0" baseItem="0" numFmtId="167"/>
    <dataField name="Somme de Net Weight  Kg    U" fld="4" baseField="0" baseItem="0"/>
  </dataFields>
  <formats count="2">
    <format dxfId="48">
      <pivotArea type="all" dataOnly="0" outline="0" fieldPosition="0"/>
    </format>
    <format dxfId="47">
      <pivotArea type="all" dataOnly="0" outline="0" fieldPosition="0"/>
    </format>
  </formats>
  <pivotTableStyleInfo name="PivotStyleLight21" showRowHeaders="1" showColHeaders="1" showRowStripes="0" showColStripes="0" showLastColumn="1"/>
  <extLs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B2:N55881" totalsRowShown="0" headerRowDxfId="46" dataDxfId="45" tableBorderDxfId="44" headerRowCellStyle="Normal 3">
  <autoFilter ref="B2:N55881" xr:uid="{00000000-0009-0000-0100-000001000000}"/>
  <tableColumns count="13">
    <tableColumn id="1" xr3:uid="{00000000-0010-0000-0000-000001000000}" name="Description" dataDxfId="43"/>
    <tableColumn id="2" xr3:uid="{00000000-0010-0000-0000-000002000000}" name="Famille" dataDxfId="42"/>
    <tableColumn id="3" xr3:uid="{00000000-0010-0000-0000-000003000000}" name="U  Vente" dataDxfId="41"/>
    <tableColumn id="4" xr3:uid="{00000000-0010-0000-0000-000004000000}" name="Qty     U" dataDxfId="40"/>
    <tableColumn id="5" xr3:uid="{00000000-0010-0000-0000-000005000000}" name="Net Weight  Kg    U" dataDxfId="39"/>
    <tableColumn id="6" xr3:uid="{00000000-0010-0000-0000-000006000000}" name="Unit       Price        " dataDxfId="38"/>
    <tableColumn id="7" xr3:uid="{00000000-0010-0000-0000-000007000000}" name="Total    Amount" dataDxfId="37"/>
    <tableColumn id="8" xr3:uid="{00000000-0010-0000-0000-000008000000}" name="CO / CR" dataDxfId="36"/>
    <tableColumn id="9" xr3:uid="{00000000-0010-0000-0000-000009000000}" name="Mois" dataDxfId="35"/>
    <tableColumn id="10" xr3:uid="{00000000-0010-0000-0000-00000A000000}" name="Année" dataDxfId="34"/>
    <tableColumn id="11" xr3:uid="{00000000-0010-0000-0000-00000B000000}" name="Client" dataDxfId="33"/>
    <tableColumn id="12" xr3:uid="{00000000-0010-0000-0000-00000C000000}" name="Devise" dataDxfId="32"/>
    <tableColumn id="13" xr3:uid="{00000000-0010-0000-0000-00000D000000}" name="Doc Number" dataDxfId="31"/>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3" Type="http://schemas.openxmlformats.org/officeDocument/2006/relationships/hyperlink" Target="https://www.packdiscount.com/caisse-carton-triple-cannelure-77-x-37-x-37-cm-tc234.html" TargetMode="External"/><Relationship Id="rId18" Type="http://schemas.openxmlformats.org/officeDocument/2006/relationships/hyperlink" Target="https://www.packdiscount.com/caisse-carton-triple-cannelure-66-x-40-x-51-cm-tc212.html" TargetMode="External"/><Relationship Id="rId26" Type="http://schemas.openxmlformats.org/officeDocument/2006/relationships/hyperlink" Target="https://www.packdiscount.com/caisse-carton-triple-cannelure-50-x-33-x-25-cm-tc202.html" TargetMode="External"/><Relationship Id="rId39" Type="http://schemas.openxmlformats.org/officeDocument/2006/relationships/hyperlink" Target="https://www.packdiscount.com/caisse-carton-cubique-double-cannelure-30-x-30-x-30-cm-dc306.html" TargetMode="External"/><Relationship Id="rId21" Type="http://schemas.openxmlformats.org/officeDocument/2006/relationships/hyperlink" Target="https://www.packdiscount.com/caisse-carton-triple-cannelure-57-x-47-x-49-cm-tc232.html" TargetMode="External"/><Relationship Id="rId34" Type="http://schemas.openxmlformats.org/officeDocument/2006/relationships/hyperlink" Target="https://www.packdiscount.com/caisse-carton-double-cannelure-20-x-15-x-15-cm-dc3a.html" TargetMode="External"/><Relationship Id="rId42" Type="http://schemas.openxmlformats.org/officeDocument/2006/relationships/hyperlink" Target="https://www.packdiscount.com/caisse-carton-double-cannelure-35-x-35-x-25-cm-dc311.html" TargetMode="External"/><Relationship Id="rId47" Type="http://schemas.openxmlformats.org/officeDocument/2006/relationships/hyperlink" Target="https://www.packdiscount.com/caisse-carton-double-cannelure-31-x-22-x-15-cm-dc307b.html" TargetMode="External"/><Relationship Id="rId50" Type="http://schemas.openxmlformats.org/officeDocument/2006/relationships/hyperlink" Target="https://www.packdiscount.com/caisse-carton-double-cannelure-35-x-23-x-26-cm-dc309.html" TargetMode="External"/><Relationship Id="rId55" Type="http://schemas.openxmlformats.org/officeDocument/2006/relationships/hyperlink" Target="https://www.packdiscount.com/caisse-carton-double-cannelure-35-x-22-x-20-cm-dc308.html" TargetMode="External"/><Relationship Id="rId7" Type="http://schemas.openxmlformats.org/officeDocument/2006/relationships/hyperlink" Target="https://www.packdiscount.com/caisse-carton-triple-cannelure-101-x-54-x-54-cm-tc222.html" TargetMode="External"/><Relationship Id="rId2" Type="http://schemas.openxmlformats.org/officeDocument/2006/relationships/hyperlink" Target="https://www.packdiscount.com/caisse-carton-triple-cannelure-120-x-80-x-85-cm-tc224.html" TargetMode="External"/><Relationship Id="rId16" Type="http://schemas.openxmlformats.org/officeDocument/2006/relationships/hyperlink" Target="https://www.packdiscount.com/caisse-carton-triple-cannelure-70-x-40-x-32-cm-tc216.html" TargetMode="External"/><Relationship Id="rId29" Type="http://schemas.openxmlformats.org/officeDocument/2006/relationships/hyperlink" Target="https://www.packdiscount.com/caisse-carton-triple-cannelure-46-x-26-x-26-cm-tc200.html" TargetMode="External"/><Relationship Id="rId11" Type="http://schemas.openxmlformats.org/officeDocument/2006/relationships/hyperlink" Target="https://www.packdiscount.com/caisse-carton-triple-cannelure-77-x-57-x-45-cm-tc236.html" TargetMode="External"/><Relationship Id="rId24" Type="http://schemas.openxmlformats.org/officeDocument/2006/relationships/hyperlink" Target="https://www.packdiscount.com/caisse-carton-triple-cannelure-50-x-50-x-50-cm-tc230.html" TargetMode="External"/><Relationship Id="rId32" Type="http://schemas.openxmlformats.org/officeDocument/2006/relationships/hyperlink" Target="https://www.packdiscount.com/caisse-carton-double-cannelure-16-x-12-x-11-cm-dc300a.html" TargetMode="External"/><Relationship Id="rId37" Type="http://schemas.openxmlformats.org/officeDocument/2006/relationships/hyperlink" Target="https://www.packdiscount.com/caisse-carton-double-cannelure-25-x-20-x-15-cm-dc301b.html" TargetMode="External"/><Relationship Id="rId40" Type="http://schemas.openxmlformats.org/officeDocument/2006/relationships/hyperlink" Target="https://www.packdiscount.com/caisse-carton-double-cannelure-31-x-21-5-x-10-cm-dc307a.html" TargetMode="External"/><Relationship Id="rId45" Type="http://schemas.openxmlformats.org/officeDocument/2006/relationships/hyperlink" Target="https://www.packdiscount.com/caisse-carton-double-cannelure-25-x-25-x-16-cm-dc301d.html" TargetMode="External"/><Relationship Id="rId53" Type="http://schemas.openxmlformats.org/officeDocument/2006/relationships/hyperlink" Target="https://www.packdiscount.com/caisse-carton-cubique-double-cannelure-25-x-25-x-25-cm-dc302.html" TargetMode="External"/><Relationship Id="rId5" Type="http://schemas.openxmlformats.org/officeDocument/2006/relationships/hyperlink" Target="https://www.packdiscount.com/caisse-carton-triple-cannelure-110-x-60-x-65-cm-tc239.html" TargetMode="External"/><Relationship Id="rId10" Type="http://schemas.openxmlformats.org/officeDocument/2006/relationships/hyperlink" Target="https://www.packdiscount.com/caisse-carton-triple-cannelure-77-x-57-x-57-cm-tc237.html" TargetMode="External"/><Relationship Id="rId19" Type="http://schemas.openxmlformats.org/officeDocument/2006/relationships/hyperlink" Target="https://www.packdiscount.com/caisse-carton-triple-cannelure-63-x-42-x-42-cm-tc210.html" TargetMode="External"/><Relationship Id="rId31" Type="http://schemas.openxmlformats.org/officeDocument/2006/relationships/hyperlink" Target="https://www.packdiscount.com/caisse-carton-triple-cannelure-40-x-40-x-40-cm-tc227.html" TargetMode="External"/><Relationship Id="rId44" Type="http://schemas.openxmlformats.org/officeDocument/2006/relationships/hyperlink" Target="https://www.packdiscount.com/caisse-carton-double-cannelure-35-x-22-x-12-cm-dc308a.html" TargetMode="External"/><Relationship Id="rId52" Type="http://schemas.openxmlformats.org/officeDocument/2006/relationships/hyperlink" Target="https://www.packdiscount.com/caisse-carton-double-cannelure-31-x-22-x-25-cm-dc307c.html" TargetMode="External"/><Relationship Id="rId4" Type="http://schemas.openxmlformats.org/officeDocument/2006/relationships/hyperlink" Target="https://www.packdiscount.com/caisse-carton-triple-cannelure-119-x-99-x-83-cm-tcc09.html" TargetMode="External"/><Relationship Id="rId9" Type="http://schemas.openxmlformats.org/officeDocument/2006/relationships/hyperlink" Target="https://www.packdiscount.com/caisse-carton-triple-cannelure-80-x-50-x-50-cm-tc220.html" TargetMode="External"/><Relationship Id="rId14" Type="http://schemas.openxmlformats.org/officeDocument/2006/relationships/hyperlink" Target="https://www.packdiscount.com/caisse-carton-triple-cannelure-75-x-55-x-60-cm-tc218.html" TargetMode="External"/><Relationship Id="rId22" Type="http://schemas.openxmlformats.org/officeDocument/2006/relationships/hyperlink" Target="https://www.packdiscount.com/caisse-carton-triple-cannelure-57-x-37-x-36-cm-tc231.html" TargetMode="External"/><Relationship Id="rId27" Type="http://schemas.openxmlformats.org/officeDocument/2006/relationships/hyperlink" Target="https://www.packdiscount.com/caisse-carton-triple-cannelure-48-x-30-x-33-cm-tc229.html" TargetMode="External"/><Relationship Id="rId30" Type="http://schemas.openxmlformats.org/officeDocument/2006/relationships/hyperlink" Target="https://www.packdiscount.com/caisse-carton-triple-cannelure-41-x-31-x-24-cm-tc226.html" TargetMode="External"/><Relationship Id="rId35" Type="http://schemas.openxmlformats.org/officeDocument/2006/relationships/hyperlink" Target="https://www.packdiscount.com/caisse-carton-cubique-double-cannelure-20-x-20-x-20-cm-dc300.html" TargetMode="External"/><Relationship Id="rId43" Type="http://schemas.openxmlformats.org/officeDocument/2006/relationships/hyperlink" Target="https://www.packdiscount.com/caisse-carton-double-cannelure-35-x-35-x-35-cm-dc312.html" TargetMode="External"/><Relationship Id="rId48" Type="http://schemas.openxmlformats.org/officeDocument/2006/relationships/hyperlink" Target="https://www.packdiscount.com/caisse-carton-double-cannelure-34-x-21-x-15-5-cm-fa2222.html" TargetMode="External"/><Relationship Id="rId56" Type="http://schemas.openxmlformats.org/officeDocument/2006/relationships/printerSettings" Target="../printerSettings/printerSettings2.bin"/><Relationship Id="rId8" Type="http://schemas.openxmlformats.org/officeDocument/2006/relationships/hyperlink" Target="https://www.packdiscount.com/caisse-carton-triple-cannelure-97-x-57-x-42-cm-tc238.html" TargetMode="External"/><Relationship Id="rId51" Type="http://schemas.openxmlformats.org/officeDocument/2006/relationships/hyperlink" Target="https://www.packdiscount.com/caisse-carton-double-cannelure-31-x-22-x-30-cm-dc307d.html" TargetMode="External"/><Relationship Id="rId3" Type="http://schemas.openxmlformats.org/officeDocument/2006/relationships/hyperlink" Target="https://www.packdiscount.com/caisse-carton-triple-cannelure-120-x-80-x-71-cm-tc240.html" TargetMode="External"/><Relationship Id="rId12" Type="http://schemas.openxmlformats.org/officeDocument/2006/relationships/hyperlink" Target="https://www.packdiscount.com/caisse-carton-triple-cannelure-77-x-38-x-45-cm-tc235.html" TargetMode="External"/><Relationship Id="rId17" Type="http://schemas.openxmlformats.org/officeDocument/2006/relationships/hyperlink" Target="https://www.packdiscount.com/caisse-carton-triple-cannelure-67-x-54-x-54-cm-tc214.html" TargetMode="External"/><Relationship Id="rId25" Type="http://schemas.openxmlformats.org/officeDocument/2006/relationships/hyperlink" Target="https://www.packdiscount.com/caisse-carton-triple-cannelure-50-x-40-x-40-cm-tc204.html" TargetMode="External"/><Relationship Id="rId33" Type="http://schemas.openxmlformats.org/officeDocument/2006/relationships/hyperlink" Target="https://www.packdiscount.com/caisse-carton-double-cannelure-20-x-15-x-12-cm-dc3b.html" TargetMode="External"/><Relationship Id="rId38" Type="http://schemas.openxmlformats.org/officeDocument/2006/relationships/hyperlink" Target="https://www.packdiscount.com/caisse-carton-double-cannelure-25-x-25-x-10-cm-dc301c.html" TargetMode="External"/><Relationship Id="rId46" Type="http://schemas.openxmlformats.org/officeDocument/2006/relationships/hyperlink" Target="https://www.packdiscount.com/caisse-carton-double-cannelure-30-x-20-x-17-cm-dc304.html" TargetMode="External"/><Relationship Id="rId20" Type="http://schemas.openxmlformats.org/officeDocument/2006/relationships/hyperlink" Target="https://www.packdiscount.com/caisse-carton-triple-cannelure-60-x-31-x-31-cm-tc208.html" TargetMode="External"/><Relationship Id="rId41" Type="http://schemas.openxmlformats.org/officeDocument/2006/relationships/hyperlink" Target="https://www.packdiscount.com/caisse-carton-double-cannelure-35-x-35-x-20-cm-dc310c.html" TargetMode="External"/><Relationship Id="rId54" Type="http://schemas.openxmlformats.org/officeDocument/2006/relationships/hyperlink" Target="https://www.packdiscount.com/caisse-carton-double-cannelure-36-x-24-x-18-cm-dc313.html" TargetMode="External"/><Relationship Id="rId1" Type="http://schemas.openxmlformats.org/officeDocument/2006/relationships/hyperlink" Target="https://www.packdiscount.com/caisse-carton-triple-cannelure-120-x-80-x-116-cm-tc241.html" TargetMode="External"/><Relationship Id="rId6" Type="http://schemas.openxmlformats.org/officeDocument/2006/relationships/hyperlink" Target="https://www.packdiscount.com/caisse-carton-triple-cannelure-104-x-71-x-59-cm-tcc05.html" TargetMode="External"/><Relationship Id="rId15" Type="http://schemas.openxmlformats.org/officeDocument/2006/relationships/hyperlink" Target="https://www.packdiscount.com/caisse-carton-triple-cannelure-70-x-42-x-40-cm-tc233.html" TargetMode="External"/><Relationship Id="rId23" Type="http://schemas.openxmlformats.org/officeDocument/2006/relationships/hyperlink" Target="https://www.packdiscount.com/caisse-carton-triple-cannelure-54-x-39-x-36-cm-tc206.html" TargetMode="External"/><Relationship Id="rId28" Type="http://schemas.openxmlformats.org/officeDocument/2006/relationships/hyperlink" Target="https://www.packdiscount.com/caisse-carton-triple-cannelure-47-x-37-x-34-cm-tc228.html" TargetMode="External"/><Relationship Id="rId36" Type="http://schemas.openxmlformats.org/officeDocument/2006/relationships/hyperlink" Target="https://www.packdiscount.com/caisse-carton-double-cannelure-25-x-18-x-14-cm-dc301.html" TargetMode="External"/><Relationship Id="rId49" Type="http://schemas.openxmlformats.org/officeDocument/2006/relationships/hyperlink" Target="https://www.packdiscount.com/caisse-carton-double-cannelure-30-x-20-x-20-cm-dc305.html" TargetMode="External"/></Relationships>
</file>

<file path=xl/worksheets/_rels/sheet5.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8.xml.rels><?xml version="1.0" encoding="UTF-8" standalone="yes"?>
<Relationships xmlns="http://schemas.openxmlformats.org/package/2006/relationships"><Relationship Id="rId1" Type="http://schemas.openxmlformats.org/officeDocument/2006/relationships/table" Target="../tables/table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5.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omments" Target="../comments2.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6.bin"/><Relationship Id="rId6" Type="http://schemas.openxmlformats.org/officeDocument/2006/relationships/comments" Target="../comments3.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dimension ref="B1:R39"/>
  <sheetViews>
    <sheetView workbookViewId="0">
      <selection activeCell="L27" sqref="L27"/>
    </sheetView>
  </sheetViews>
  <sheetFormatPr baseColWidth="10" defaultRowHeight="15"/>
  <cols>
    <col min="2" max="2" width="11.5703125" style="17"/>
    <col min="3" max="3" width="9.28515625" style="1" bestFit="1" customWidth="1"/>
    <col min="4" max="4" width="9.140625" style="1" bestFit="1" customWidth="1"/>
    <col min="5" max="5" width="4.7109375" style="1" bestFit="1" customWidth="1"/>
    <col min="6" max="8" width="8.7109375" style="1" bestFit="1" customWidth="1"/>
    <col min="9" max="9" width="9.7109375" style="1" bestFit="1" customWidth="1"/>
    <col min="10" max="10" width="7.85546875" style="16" bestFit="1" customWidth="1"/>
    <col min="13" max="13" width="17.28515625" style="1" bestFit="1" customWidth="1"/>
    <col min="14" max="14" width="13.28515625" style="1" bestFit="1" customWidth="1"/>
    <col min="15" max="15" width="11.7109375" style="1" customWidth="1"/>
    <col min="16" max="16" width="9.42578125" style="1" customWidth="1"/>
    <col min="17" max="17" width="6.5703125" style="1" bestFit="1" customWidth="1"/>
    <col min="18" max="18" width="3" style="1" bestFit="1" customWidth="1"/>
  </cols>
  <sheetData>
    <row r="1" spans="2:18">
      <c r="L1" s="15"/>
    </row>
    <row r="2" spans="2:18">
      <c r="B2" s="531" t="s">
        <v>233</v>
      </c>
      <c r="C2" s="531"/>
      <c r="D2" s="531"/>
      <c r="E2" s="531"/>
      <c r="F2" s="531"/>
      <c r="G2" s="531"/>
      <c r="H2" s="531"/>
      <c r="I2" s="531"/>
      <c r="J2" s="531"/>
    </row>
    <row r="3" spans="2:18">
      <c r="C3" s="17" t="s">
        <v>193</v>
      </c>
      <c r="D3" s="17" t="s">
        <v>188</v>
      </c>
      <c r="E3" s="17"/>
      <c r="F3" s="17"/>
      <c r="G3" s="17"/>
      <c r="H3" s="17"/>
      <c r="I3" s="17"/>
      <c r="J3" s="18"/>
    </row>
    <row r="4" spans="2:18">
      <c r="C4" s="17" t="s">
        <v>194</v>
      </c>
      <c r="D4" s="17" t="s">
        <v>194</v>
      </c>
      <c r="E4" s="17" t="s">
        <v>189</v>
      </c>
      <c r="F4" s="531" t="s">
        <v>191</v>
      </c>
      <c r="G4" s="531"/>
      <c r="H4" s="531"/>
      <c r="I4" s="531"/>
      <c r="J4" s="18"/>
      <c r="M4" s="67" t="s">
        <v>384</v>
      </c>
      <c r="N4" s="67" t="s">
        <v>385</v>
      </c>
      <c r="O4" s="532" t="s">
        <v>386</v>
      </c>
      <c r="P4" s="532"/>
      <c r="Q4" s="22" t="s">
        <v>234</v>
      </c>
      <c r="R4" s="67" t="s">
        <v>387</v>
      </c>
    </row>
    <row r="5" spans="2:18">
      <c r="B5" s="17" t="s">
        <v>186</v>
      </c>
      <c r="C5" s="17" t="s">
        <v>187</v>
      </c>
      <c r="D5" s="17" t="s">
        <v>232</v>
      </c>
      <c r="E5" s="17" t="s">
        <v>190</v>
      </c>
      <c r="F5" s="17" t="s">
        <v>192</v>
      </c>
      <c r="G5" s="17" t="s">
        <v>195</v>
      </c>
      <c r="H5" s="17" t="s">
        <v>196</v>
      </c>
      <c r="I5" s="17" t="s">
        <v>197</v>
      </c>
      <c r="J5" s="18"/>
      <c r="M5" s="68" t="s">
        <v>369</v>
      </c>
      <c r="N5" s="28">
        <v>150</v>
      </c>
      <c r="O5" s="26">
        <v>120</v>
      </c>
      <c r="P5" s="26">
        <v>180</v>
      </c>
      <c r="Q5" s="26"/>
      <c r="R5" s="68"/>
    </row>
    <row r="6" spans="2:18">
      <c r="B6" s="17" t="s">
        <v>198</v>
      </c>
      <c r="C6" s="1">
        <v>12</v>
      </c>
      <c r="D6" s="1">
        <v>18</v>
      </c>
      <c r="E6" s="1">
        <v>300</v>
      </c>
      <c r="F6" s="1">
        <v>23.75</v>
      </c>
      <c r="G6" s="1">
        <v>18.95</v>
      </c>
      <c r="H6" s="1">
        <v>18.95</v>
      </c>
      <c r="I6" s="1">
        <v>18.95</v>
      </c>
      <c r="J6" s="16">
        <f>+F6/E6</f>
        <v>7.9166666666666663E-2</v>
      </c>
      <c r="M6" s="68" t="s">
        <v>370</v>
      </c>
      <c r="N6" s="28">
        <v>150</v>
      </c>
      <c r="O6" s="26">
        <v>150</v>
      </c>
      <c r="P6" s="26">
        <v>250</v>
      </c>
      <c r="Q6" s="26"/>
      <c r="R6" s="68"/>
    </row>
    <row r="7" spans="2:18">
      <c r="B7" s="17" t="s">
        <v>199</v>
      </c>
      <c r="C7" s="1">
        <v>30</v>
      </c>
      <c r="D7" s="1">
        <v>50</v>
      </c>
      <c r="E7" s="1">
        <v>100</v>
      </c>
      <c r="F7" s="1">
        <v>41.5</v>
      </c>
      <c r="G7" s="1">
        <v>33.200000000000003</v>
      </c>
      <c r="H7" s="1">
        <v>33.200000000000003</v>
      </c>
      <c r="I7" s="1">
        <v>33.200000000000003</v>
      </c>
      <c r="J7" s="16">
        <f t="shared" ref="J7:J39" si="0">+F7/E7</f>
        <v>0.41499999999999998</v>
      </c>
      <c r="M7" s="68" t="s">
        <v>371</v>
      </c>
      <c r="N7" s="28">
        <v>150</v>
      </c>
      <c r="O7" s="26">
        <v>150</v>
      </c>
      <c r="P7" s="26">
        <v>300</v>
      </c>
      <c r="Q7" s="26"/>
      <c r="R7" s="68"/>
    </row>
    <row r="8" spans="2:18">
      <c r="B8" s="17" t="s">
        <v>200</v>
      </c>
      <c r="C8" s="1">
        <v>40</v>
      </c>
      <c r="D8" s="1">
        <v>60</v>
      </c>
      <c r="E8" s="1">
        <v>100</v>
      </c>
      <c r="F8" s="1">
        <v>65.95</v>
      </c>
      <c r="G8" s="1">
        <v>52.75</v>
      </c>
      <c r="H8" s="1">
        <v>52.75</v>
      </c>
      <c r="I8" s="1">
        <v>52.75</v>
      </c>
      <c r="J8" s="16">
        <f t="shared" si="0"/>
        <v>0.65949999999999998</v>
      </c>
      <c r="M8" s="68" t="s">
        <v>372</v>
      </c>
      <c r="N8" s="28">
        <v>150</v>
      </c>
      <c r="O8" s="26">
        <v>220</v>
      </c>
      <c r="P8" s="26">
        <v>360</v>
      </c>
      <c r="Q8" s="26"/>
      <c r="R8" s="68"/>
    </row>
    <row r="9" spans="2:18">
      <c r="B9" s="17" t="s">
        <v>201</v>
      </c>
      <c r="C9" s="1">
        <v>70</v>
      </c>
      <c r="D9" s="1">
        <v>150</v>
      </c>
      <c r="E9" s="1">
        <v>100</v>
      </c>
      <c r="F9" s="1">
        <v>198</v>
      </c>
      <c r="G9" s="1">
        <v>158</v>
      </c>
      <c r="H9" s="1">
        <v>158</v>
      </c>
      <c r="I9" s="1">
        <v>158</v>
      </c>
      <c r="J9" s="16">
        <f t="shared" si="0"/>
        <v>1.98</v>
      </c>
      <c r="M9" s="68" t="s">
        <v>373</v>
      </c>
      <c r="N9" s="28">
        <v>150</v>
      </c>
      <c r="O9" s="26">
        <v>230</v>
      </c>
      <c r="P9" s="26">
        <v>320</v>
      </c>
      <c r="Q9" s="26"/>
      <c r="R9" s="68"/>
    </row>
    <row r="10" spans="2:18">
      <c r="B10" s="17" t="s">
        <v>202</v>
      </c>
      <c r="C10" s="1">
        <v>23</v>
      </c>
      <c r="D10" s="1">
        <v>32</v>
      </c>
      <c r="E10" s="1">
        <v>100</v>
      </c>
      <c r="F10" s="1">
        <v>27.25</v>
      </c>
      <c r="G10" s="1">
        <v>21.8</v>
      </c>
      <c r="H10" s="1">
        <v>21.8</v>
      </c>
      <c r="I10" s="1">
        <v>21.8</v>
      </c>
      <c r="J10" s="16">
        <f t="shared" si="0"/>
        <v>0.27250000000000002</v>
      </c>
      <c r="M10" s="68" t="s">
        <v>374</v>
      </c>
      <c r="N10" s="28">
        <v>150</v>
      </c>
      <c r="O10" s="26">
        <v>250</v>
      </c>
      <c r="P10" s="26">
        <v>350</v>
      </c>
      <c r="Q10" s="26"/>
      <c r="R10" s="68"/>
    </row>
    <row r="11" spans="2:18">
      <c r="B11" s="17" t="s">
        <v>203</v>
      </c>
      <c r="C11" s="1">
        <v>50</v>
      </c>
      <c r="D11" s="1">
        <v>90</v>
      </c>
      <c r="E11" s="1">
        <v>100</v>
      </c>
      <c r="F11" s="1">
        <v>104</v>
      </c>
      <c r="G11" s="1">
        <v>93.6</v>
      </c>
      <c r="H11" s="1">
        <v>88.4</v>
      </c>
      <c r="I11" s="1">
        <v>83.2</v>
      </c>
      <c r="J11" s="16">
        <f t="shared" si="0"/>
        <v>1.04</v>
      </c>
      <c r="M11" s="68" t="s">
        <v>375</v>
      </c>
      <c r="N11" s="28">
        <v>150</v>
      </c>
      <c r="O11" s="26">
        <v>250</v>
      </c>
      <c r="P11" s="26">
        <v>400</v>
      </c>
      <c r="Q11" s="26"/>
      <c r="R11" s="68"/>
    </row>
    <row r="12" spans="2:18">
      <c r="B12" s="17" t="s">
        <v>204</v>
      </c>
      <c r="C12" s="1">
        <v>60</v>
      </c>
      <c r="D12" s="1">
        <v>120</v>
      </c>
      <c r="E12" s="1">
        <v>100</v>
      </c>
      <c r="F12" s="1">
        <v>149</v>
      </c>
      <c r="G12" s="1">
        <v>134</v>
      </c>
      <c r="H12" s="1">
        <v>126</v>
      </c>
      <c r="I12" s="1">
        <v>119</v>
      </c>
      <c r="J12" s="16">
        <f t="shared" si="0"/>
        <v>1.49</v>
      </c>
      <c r="M12" s="68" t="s">
        <v>376</v>
      </c>
      <c r="N12" s="28">
        <v>150</v>
      </c>
      <c r="O12" s="26">
        <v>300</v>
      </c>
      <c r="P12" s="26">
        <v>500</v>
      </c>
      <c r="Q12" s="26"/>
      <c r="R12" s="68"/>
    </row>
    <row r="13" spans="2:18">
      <c r="B13" s="17" t="s">
        <v>205</v>
      </c>
      <c r="C13" s="1">
        <v>10</v>
      </c>
      <c r="D13" s="1">
        <v>15</v>
      </c>
      <c r="E13" s="1">
        <v>300</v>
      </c>
      <c r="F13" s="1">
        <v>16.75</v>
      </c>
      <c r="G13" s="1">
        <v>14.95</v>
      </c>
      <c r="H13" s="1">
        <v>14.2</v>
      </c>
      <c r="I13" s="1">
        <v>13.4</v>
      </c>
      <c r="J13" s="16">
        <f t="shared" si="0"/>
        <v>5.5833333333333332E-2</v>
      </c>
      <c r="M13" s="68" t="s">
        <v>377</v>
      </c>
      <c r="N13" s="28">
        <v>150</v>
      </c>
      <c r="O13" s="26">
        <v>350</v>
      </c>
      <c r="P13" s="26">
        <v>450</v>
      </c>
      <c r="Q13" s="26"/>
      <c r="R13" s="68"/>
    </row>
    <row r="14" spans="2:18">
      <c r="B14" s="17" t="s">
        <v>206</v>
      </c>
      <c r="C14" s="1">
        <v>10</v>
      </c>
      <c r="D14" s="1">
        <v>20</v>
      </c>
      <c r="E14" s="1">
        <v>300</v>
      </c>
      <c r="F14" s="1">
        <v>21.95</v>
      </c>
      <c r="G14" s="1">
        <v>19.75</v>
      </c>
      <c r="H14" s="1">
        <v>18.649999999999999</v>
      </c>
      <c r="I14" s="1">
        <v>17.55</v>
      </c>
      <c r="J14" s="16">
        <f t="shared" si="0"/>
        <v>7.3166666666666658E-2</v>
      </c>
      <c r="M14" s="68" t="s">
        <v>378</v>
      </c>
      <c r="N14" s="28">
        <v>150</v>
      </c>
      <c r="O14" s="26">
        <v>400</v>
      </c>
      <c r="P14" s="26">
        <v>600</v>
      </c>
      <c r="Q14" s="26">
        <v>20000</v>
      </c>
      <c r="R14" s="68">
        <f>Q14/1000</f>
        <v>20</v>
      </c>
    </row>
    <row r="15" spans="2:18">
      <c r="B15" s="17" t="s">
        <v>207</v>
      </c>
      <c r="C15" s="1">
        <v>35</v>
      </c>
      <c r="D15" s="1">
        <v>55</v>
      </c>
      <c r="E15" s="1">
        <v>100</v>
      </c>
      <c r="F15" s="1">
        <v>57.65</v>
      </c>
      <c r="G15" s="1">
        <v>51.85</v>
      </c>
      <c r="H15" s="1">
        <v>48.95</v>
      </c>
      <c r="I15" s="1">
        <v>46.1</v>
      </c>
      <c r="J15" s="16">
        <f t="shared" si="0"/>
        <v>0.57650000000000001</v>
      </c>
      <c r="M15" s="68" t="s">
        <v>379</v>
      </c>
      <c r="N15" s="28">
        <v>150</v>
      </c>
      <c r="O15" s="26">
        <v>500</v>
      </c>
      <c r="P15" s="26">
        <v>800</v>
      </c>
      <c r="Q15" s="26"/>
      <c r="R15" s="68"/>
    </row>
    <row r="16" spans="2:18">
      <c r="B16" s="17" t="s">
        <v>208</v>
      </c>
      <c r="C16" s="1">
        <v>40</v>
      </c>
      <c r="D16" s="1">
        <v>40</v>
      </c>
      <c r="E16" s="1">
        <v>100</v>
      </c>
      <c r="F16" s="1">
        <v>41.5</v>
      </c>
      <c r="G16" s="1">
        <v>37.35</v>
      </c>
      <c r="H16" s="1">
        <v>35.25</v>
      </c>
      <c r="I16" s="1">
        <v>33.200000000000003</v>
      </c>
      <c r="J16" s="16">
        <f t="shared" si="0"/>
        <v>0.41499999999999998</v>
      </c>
      <c r="M16" s="68" t="s">
        <v>380</v>
      </c>
      <c r="N16" s="28">
        <v>150</v>
      </c>
      <c r="O16" s="26">
        <v>500</v>
      </c>
      <c r="P16" s="26">
        <v>900</v>
      </c>
      <c r="Q16" s="26"/>
      <c r="R16" s="68"/>
    </row>
    <row r="17" spans="2:18">
      <c r="B17" s="17" t="s">
        <v>209</v>
      </c>
      <c r="C17" s="1">
        <v>45</v>
      </c>
      <c r="D17" s="1">
        <v>70</v>
      </c>
      <c r="E17" s="1">
        <v>100</v>
      </c>
      <c r="F17" s="1">
        <v>92.6</v>
      </c>
      <c r="G17" s="1">
        <v>83.3</v>
      </c>
      <c r="H17" s="1">
        <v>78.7</v>
      </c>
      <c r="I17" s="1">
        <v>73.95</v>
      </c>
      <c r="J17" s="16">
        <f t="shared" si="0"/>
        <v>0.92599999999999993</v>
      </c>
      <c r="M17" s="68" t="s">
        <v>381</v>
      </c>
      <c r="N17" s="28">
        <v>130</v>
      </c>
      <c r="O17" s="26">
        <v>600</v>
      </c>
      <c r="P17" s="26">
        <v>1000</v>
      </c>
      <c r="Q17" s="26"/>
      <c r="R17" s="68"/>
    </row>
    <row r="18" spans="2:18">
      <c r="B18" s="17" t="s">
        <v>210</v>
      </c>
      <c r="C18" s="1">
        <v>50</v>
      </c>
      <c r="D18" s="1">
        <v>50</v>
      </c>
      <c r="E18" s="1">
        <v>100</v>
      </c>
      <c r="F18" s="1">
        <v>67.55</v>
      </c>
      <c r="G18" s="1">
        <v>60.75</v>
      </c>
      <c r="H18" s="1">
        <v>57.4</v>
      </c>
      <c r="I18" s="1">
        <v>53.95</v>
      </c>
      <c r="J18" s="16">
        <f t="shared" si="0"/>
        <v>0.67549999999999999</v>
      </c>
      <c r="M18" s="68" t="s">
        <v>382</v>
      </c>
      <c r="N18" s="28">
        <v>150</v>
      </c>
      <c r="O18" s="26">
        <v>600</v>
      </c>
      <c r="P18" s="26">
        <v>1200</v>
      </c>
      <c r="Q18" s="26"/>
      <c r="R18" s="68"/>
    </row>
    <row r="19" spans="2:18">
      <c r="B19" s="17" t="s">
        <v>211</v>
      </c>
      <c r="C19" s="1">
        <v>80</v>
      </c>
      <c r="D19" s="1">
        <v>160</v>
      </c>
      <c r="E19" s="1">
        <v>60</v>
      </c>
      <c r="F19" s="1">
        <v>207</v>
      </c>
      <c r="G19" s="1">
        <v>186</v>
      </c>
      <c r="H19" s="1">
        <v>175</v>
      </c>
      <c r="I19" s="1">
        <v>165</v>
      </c>
      <c r="J19" s="16">
        <f t="shared" si="0"/>
        <v>3.45</v>
      </c>
      <c r="M19" s="68" t="s">
        <v>383</v>
      </c>
      <c r="N19" s="28">
        <v>150</v>
      </c>
      <c r="O19" s="26">
        <v>1000</v>
      </c>
      <c r="P19" s="26">
        <v>1500</v>
      </c>
      <c r="Q19" s="26"/>
      <c r="R19" s="68"/>
    </row>
    <row r="20" spans="2:18">
      <c r="B20" s="17" t="s">
        <v>212</v>
      </c>
      <c r="C20" s="1">
        <v>85</v>
      </c>
      <c r="D20" s="1">
        <v>130</v>
      </c>
      <c r="E20" s="1">
        <v>60</v>
      </c>
      <c r="F20" s="1">
        <v>203</v>
      </c>
      <c r="G20" s="1">
        <v>182</v>
      </c>
      <c r="H20" s="1">
        <v>172</v>
      </c>
      <c r="I20" s="1">
        <v>162</v>
      </c>
      <c r="J20" s="16">
        <f t="shared" si="0"/>
        <v>3.3833333333333333</v>
      </c>
    </row>
    <row r="21" spans="2:18">
      <c r="B21" s="17" t="s">
        <v>213</v>
      </c>
      <c r="C21" s="1">
        <v>100</v>
      </c>
      <c r="D21" s="1">
        <v>150</v>
      </c>
      <c r="E21" s="1">
        <v>60</v>
      </c>
      <c r="F21" s="1">
        <v>217</v>
      </c>
      <c r="G21" s="1">
        <v>195</v>
      </c>
      <c r="H21" s="1">
        <v>184</v>
      </c>
      <c r="I21" s="1">
        <v>173</v>
      </c>
      <c r="J21" s="16">
        <f t="shared" si="0"/>
        <v>3.6166666666666667</v>
      </c>
    </row>
    <row r="22" spans="2:18">
      <c r="B22" s="17" t="s">
        <v>214</v>
      </c>
      <c r="C22" s="1">
        <v>15</v>
      </c>
      <c r="D22" s="1">
        <v>25</v>
      </c>
      <c r="E22" s="1">
        <v>200</v>
      </c>
      <c r="F22" s="1">
        <v>24.1</v>
      </c>
      <c r="G22" s="1">
        <v>21.65</v>
      </c>
      <c r="H22" s="1">
        <v>20.45</v>
      </c>
      <c r="I22" s="1">
        <v>19.25</v>
      </c>
      <c r="J22" s="16">
        <f t="shared" si="0"/>
        <v>0.12050000000000001</v>
      </c>
    </row>
    <row r="23" spans="2:18">
      <c r="B23" s="17" t="s">
        <v>215</v>
      </c>
      <c r="C23" s="1">
        <v>15</v>
      </c>
      <c r="D23" s="1">
        <v>18</v>
      </c>
      <c r="E23" s="1">
        <v>300</v>
      </c>
      <c r="F23" s="1">
        <v>29.75</v>
      </c>
      <c r="G23" s="1">
        <v>26.75</v>
      </c>
      <c r="H23" s="1">
        <v>25.25</v>
      </c>
      <c r="I23" s="1">
        <v>23.8</v>
      </c>
      <c r="J23" s="16">
        <f t="shared" si="0"/>
        <v>9.9166666666666667E-2</v>
      </c>
      <c r="M23" s="1" t="s">
        <v>16</v>
      </c>
    </row>
    <row r="24" spans="2:18">
      <c r="B24" s="17" t="s">
        <v>216</v>
      </c>
      <c r="C24" s="1">
        <v>18</v>
      </c>
      <c r="D24" s="1">
        <v>30</v>
      </c>
      <c r="E24" s="1">
        <v>150</v>
      </c>
      <c r="F24" s="1">
        <v>27.1</v>
      </c>
      <c r="G24" s="1">
        <v>24.35</v>
      </c>
      <c r="H24" s="1">
        <v>22.95</v>
      </c>
      <c r="I24" s="1">
        <v>21.65</v>
      </c>
      <c r="J24" s="16">
        <f t="shared" si="0"/>
        <v>0.18066666666666667</v>
      </c>
      <c r="M24" s="1" t="s">
        <v>17</v>
      </c>
    </row>
    <row r="25" spans="2:18">
      <c r="B25" s="17" t="s">
        <v>217</v>
      </c>
      <c r="C25" s="1">
        <v>20</v>
      </c>
      <c r="D25" s="1">
        <v>25</v>
      </c>
      <c r="E25" s="1">
        <v>125</v>
      </c>
      <c r="F25" s="1">
        <v>26.65</v>
      </c>
      <c r="G25" s="1">
        <v>23.95</v>
      </c>
      <c r="H25" s="1">
        <v>22.65</v>
      </c>
      <c r="I25" s="1">
        <v>21.3</v>
      </c>
      <c r="J25" s="16">
        <f t="shared" si="0"/>
        <v>0.2132</v>
      </c>
      <c r="M25" s="1" t="s">
        <v>567</v>
      </c>
    </row>
    <row r="26" spans="2:18">
      <c r="B26" s="17" t="s">
        <v>218</v>
      </c>
      <c r="C26" s="1">
        <v>22</v>
      </c>
      <c r="D26" s="1">
        <v>36</v>
      </c>
      <c r="E26" s="1">
        <v>100</v>
      </c>
      <c r="F26" s="1">
        <v>29.3</v>
      </c>
      <c r="G26" s="1">
        <v>26.35</v>
      </c>
      <c r="H26" s="1">
        <v>24.9</v>
      </c>
      <c r="I26" s="1">
        <v>23.4</v>
      </c>
      <c r="J26" s="16">
        <f t="shared" si="0"/>
        <v>0.29299999999999998</v>
      </c>
    </row>
    <row r="27" spans="2:18">
      <c r="B27" s="17" t="s">
        <v>219</v>
      </c>
      <c r="C27" s="1">
        <v>25</v>
      </c>
      <c r="D27" s="1">
        <v>40</v>
      </c>
      <c r="E27" s="1">
        <v>100</v>
      </c>
      <c r="F27" s="1">
        <v>33.5</v>
      </c>
      <c r="G27" s="1">
        <v>30.15</v>
      </c>
      <c r="H27" s="1">
        <v>28.45</v>
      </c>
      <c r="I27" s="1">
        <v>26.8</v>
      </c>
      <c r="J27" s="16">
        <f t="shared" si="0"/>
        <v>0.33500000000000002</v>
      </c>
    </row>
    <row r="28" spans="2:18">
      <c r="B28" s="17" t="s">
        <v>220</v>
      </c>
      <c r="C28" s="1">
        <v>25</v>
      </c>
      <c r="D28" s="1">
        <v>35</v>
      </c>
      <c r="E28" s="1">
        <v>100</v>
      </c>
      <c r="F28" s="1">
        <v>32.4</v>
      </c>
      <c r="G28" s="1">
        <v>29.15</v>
      </c>
      <c r="H28" s="1">
        <v>27.5</v>
      </c>
      <c r="I28" s="1">
        <v>25.9</v>
      </c>
      <c r="J28" s="16">
        <f t="shared" si="0"/>
        <v>0.32400000000000001</v>
      </c>
    </row>
    <row r="29" spans="2:18">
      <c r="B29" s="17" t="s">
        <v>221</v>
      </c>
      <c r="C29" s="1">
        <v>20</v>
      </c>
      <c r="D29" s="1">
        <v>30</v>
      </c>
      <c r="E29" s="1">
        <v>125</v>
      </c>
      <c r="F29" s="1">
        <v>27.95</v>
      </c>
      <c r="G29" s="1">
        <v>25.15</v>
      </c>
      <c r="H29" s="1">
        <v>23.75</v>
      </c>
      <c r="I29" s="1">
        <v>22.35</v>
      </c>
      <c r="J29" s="16">
        <f t="shared" si="0"/>
        <v>0.22359999999999999</v>
      </c>
    </row>
    <row r="30" spans="2:18">
      <c r="B30" s="17" t="s">
        <v>222</v>
      </c>
      <c r="C30" s="1">
        <v>30</v>
      </c>
      <c r="D30" s="1">
        <v>40</v>
      </c>
      <c r="E30" s="1">
        <v>100</v>
      </c>
      <c r="F30" s="1">
        <v>36.25</v>
      </c>
      <c r="G30" s="1">
        <v>32.6</v>
      </c>
      <c r="H30" s="1">
        <v>30.8</v>
      </c>
      <c r="I30" s="1">
        <v>28.95</v>
      </c>
      <c r="J30" s="16">
        <f t="shared" si="0"/>
        <v>0.36249999999999999</v>
      </c>
    </row>
    <row r="31" spans="2:18">
      <c r="B31" s="17" t="s">
        <v>223</v>
      </c>
      <c r="C31" s="1">
        <v>35</v>
      </c>
      <c r="D31" s="1">
        <v>45</v>
      </c>
      <c r="E31" s="1">
        <v>100</v>
      </c>
      <c r="F31" s="1">
        <v>40.950000000000003</v>
      </c>
      <c r="G31" s="1">
        <v>36.85</v>
      </c>
      <c r="H31" s="1">
        <v>34.799999999999997</v>
      </c>
      <c r="I31" s="1">
        <v>32.75</v>
      </c>
      <c r="J31" s="16">
        <f t="shared" si="0"/>
        <v>0.40950000000000003</v>
      </c>
    </row>
    <row r="32" spans="2:18">
      <c r="B32" s="17" t="s">
        <v>224</v>
      </c>
      <c r="C32" s="1">
        <v>30</v>
      </c>
      <c r="D32" s="1">
        <v>60</v>
      </c>
      <c r="E32" s="1">
        <v>100</v>
      </c>
      <c r="F32" s="1">
        <v>49.1</v>
      </c>
      <c r="G32" s="1">
        <v>44.15</v>
      </c>
      <c r="H32" s="1">
        <v>41.7</v>
      </c>
      <c r="I32" s="1">
        <v>39.25</v>
      </c>
      <c r="J32" s="16">
        <f t="shared" si="0"/>
        <v>0.49099999999999999</v>
      </c>
    </row>
    <row r="33" spans="2:10">
      <c r="B33" s="17" t="s">
        <v>225</v>
      </c>
      <c r="C33" s="1">
        <v>50</v>
      </c>
      <c r="D33" s="1">
        <v>80</v>
      </c>
      <c r="E33" s="1">
        <v>100</v>
      </c>
      <c r="F33" s="1">
        <v>97.95</v>
      </c>
      <c r="G33" s="1">
        <v>88.15</v>
      </c>
      <c r="H33" s="1">
        <v>83.25</v>
      </c>
      <c r="I33" s="1">
        <v>78.349999999999994</v>
      </c>
      <c r="J33" s="16">
        <f t="shared" si="0"/>
        <v>0.97950000000000004</v>
      </c>
    </row>
    <row r="34" spans="2:10">
      <c r="B34" s="17" t="s">
        <v>226</v>
      </c>
      <c r="C34" s="1">
        <v>55</v>
      </c>
      <c r="D34" s="1">
        <v>90</v>
      </c>
      <c r="E34" s="1">
        <v>100</v>
      </c>
      <c r="F34" s="1">
        <v>112</v>
      </c>
      <c r="G34" s="1">
        <v>99.95</v>
      </c>
      <c r="H34" s="1">
        <v>95.2</v>
      </c>
      <c r="I34" s="1">
        <v>89.6</v>
      </c>
      <c r="J34" s="16">
        <f t="shared" si="0"/>
        <v>1.1200000000000001</v>
      </c>
    </row>
    <row r="35" spans="2:10">
      <c r="B35" s="17" t="s">
        <v>227</v>
      </c>
      <c r="C35" s="1">
        <v>50</v>
      </c>
      <c r="D35" s="1">
        <v>60</v>
      </c>
      <c r="E35" s="1">
        <v>100</v>
      </c>
      <c r="F35" s="1">
        <v>87.85</v>
      </c>
      <c r="G35" s="1">
        <v>78.95</v>
      </c>
      <c r="H35" s="1">
        <v>74.650000000000006</v>
      </c>
      <c r="I35" s="1">
        <v>70.25</v>
      </c>
      <c r="J35" s="16">
        <f t="shared" si="0"/>
        <v>0.87849999999999995</v>
      </c>
    </row>
    <row r="36" spans="2:10">
      <c r="B36" s="17" t="s">
        <v>228</v>
      </c>
      <c r="C36" s="1">
        <v>60</v>
      </c>
      <c r="D36" s="1">
        <v>100</v>
      </c>
      <c r="E36" s="1">
        <v>100</v>
      </c>
      <c r="F36" s="1">
        <v>112</v>
      </c>
      <c r="G36" s="1">
        <v>99.95</v>
      </c>
      <c r="H36" s="1">
        <v>95.2</v>
      </c>
      <c r="I36" s="1">
        <v>89.6</v>
      </c>
      <c r="J36" s="16">
        <f t="shared" si="0"/>
        <v>1.1200000000000001</v>
      </c>
    </row>
    <row r="37" spans="2:10">
      <c r="B37" s="17" t="s">
        <v>229</v>
      </c>
      <c r="C37" s="1">
        <v>60</v>
      </c>
      <c r="D37" s="1">
        <v>60</v>
      </c>
      <c r="E37" s="1">
        <v>100</v>
      </c>
      <c r="F37" s="1">
        <v>99.95</v>
      </c>
      <c r="G37" s="1">
        <v>89.95</v>
      </c>
      <c r="H37" s="1">
        <v>84.95</v>
      </c>
      <c r="I37" s="1">
        <v>79.95</v>
      </c>
      <c r="J37" s="16">
        <f t="shared" si="0"/>
        <v>0.99950000000000006</v>
      </c>
    </row>
    <row r="38" spans="2:10">
      <c r="B38" s="17" t="s">
        <v>230</v>
      </c>
      <c r="C38" s="1">
        <v>60</v>
      </c>
      <c r="D38" s="1">
        <v>80</v>
      </c>
      <c r="E38" s="1">
        <v>100</v>
      </c>
      <c r="F38" s="1">
        <v>106</v>
      </c>
      <c r="G38" s="1">
        <v>95.4</v>
      </c>
      <c r="H38" s="1">
        <v>89.95</v>
      </c>
      <c r="I38" s="1">
        <v>84.8</v>
      </c>
      <c r="J38" s="16">
        <f t="shared" si="0"/>
        <v>1.06</v>
      </c>
    </row>
    <row r="39" spans="2:10">
      <c r="B39" s="17" t="s">
        <v>231</v>
      </c>
      <c r="C39" s="1">
        <v>90</v>
      </c>
      <c r="D39" s="1">
        <v>140</v>
      </c>
      <c r="E39" s="1">
        <v>60</v>
      </c>
      <c r="F39" s="1">
        <v>213</v>
      </c>
      <c r="G39" s="1">
        <v>189</v>
      </c>
      <c r="H39" s="1">
        <v>179</v>
      </c>
      <c r="I39" s="1">
        <v>169</v>
      </c>
      <c r="J39" s="16">
        <f t="shared" si="0"/>
        <v>3.55</v>
      </c>
    </row>
  </sheetData>
  <mergeCells count="3">
    <mergeCell ref="F4:I4"/>
    <mergeCell ref="B2:J2"/>
    <mergeCell ref="O4:P4"/>
  </mergeCells>
  <conditionalFormatting sqref="N23:N25">
    <cfRule type="expression" priority="1">
      <formula>AND(M23="Gr","1")</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7"/>
  <dimension ref="B3:F100"/>
  <sheetViews>
    <sheetView showGridLines="0" workbookViewId="0">
      <selection activeCell="B9" sqref="B9"/>
    </sheetView>
  </sheetViews>
  <sheetFormatPr baseColWidth="10" defaultColWidth="11.5703125" defaultRowHeight="12.75"/>
  <cols>
    <col min="1" max="1" width="2.7109375" style="73" customWidth="1"/>
    <col min="2" max="2" width="11.5703125" style="88"/>
    <col min="3" max="3" width="99.7109375" style="73" customWidth="1"/>
    <col min="4" max="4" width="3.5703125" style="73" customWidth="1"/>
    <col min="5" max="5" width="8.42578125" style="88" bestFit="1" customWidth="1"/>
    <col min="6" max="6" width="190.5703125" style="73" bestFit="1" customWidth="1"/>
    <col min="7" max="16384" width="11.5703125" style="73"/>
  </cols>
  <sheetData>
    <row r="3" spans="2:6">
      <c r="B3" s="533" t="s">
        <v>388</v>
      </c>
      <c r="C3" s="534"/>
      <c r="E3" s="88" t="s">
        <v>479</v>
      </c>
    </row>
    <row r="4" spans="2:6" ht="25.5">
      <c r="B4" s="63">
        <v>71031000</v>
      </c>
      <c r="C4" s="70" t="s">
        <v>465</v>
      </c>
      <c r="E4" s="63" t="s">
        <v>409</v>
      </c>
      <c r="F4" s="79" t="s">
        <v>478</v>
      </c>
    </row>
    <row r="5" spans="2:6">
      <c r="B5" s="63" t="s">
        <v>480</v>
      </c>
      <c r="C5" s="72" t="s">
        <v>477</v>
      </c>
      <c r="E5" s="63" t="s">
        <v>481</v>
      </c>
      <c r="F5" s="89" t="s">
        <v>482</v>
      </c>
    </row>
    <row r="6" spans="2:6">
      <c r="B6" s="63" t="s">
        <v>492</v>
      </c>
      <c r="C6" s="71"/>
    </row>
    <row r="7" spans="2:6">
      <c r="B7" s="63" t="s">
        <v>492</v>
      </c>
      <c r="C7" s="71"/>
    </row>
    <row r="8" spans="2:6">
      <c r="B8" s="63" t="s">
        <v>492</v>
      </c>
      <c r="C8" s="71"/>
    </row>
    <row r="9" spans="2:6">
      <c r="B9" s="63" t="s">
        <v>492</v>
      </c>
      <c r="C9" s="71"/>
    </row>
    <row r="10" spans="2:6">
      <c r="B10" s="63" t="s">
        <v>492</v>
      </c>
      <c r="C10" s="71"/>
    </row>
    <row r="11" spans="2:6">
      <c r="B11" s="63" t="s">
        <v>492</v>
      </c>
      <c r="C11" s="71"/>
    </row>
    <row r="12" spans="2:6">
      <c r="B12" s="63" t="s">
        <v>492</v>
      </c>
      <c r="C12" s="71"/>
    </row>
    <row r="13" spans="2:6">
      <c r="B13" s="63" t="s">
        <v>492</v>
      </c>
      <c r="C13" s="71"/>
    </row>
    <row r="14" spans="2:6">
      <c r="B14" s="63" t="s">
        <v>492</v>
      </c>
      <c r="C14" s="71"/>
    </row>
    <row r="15" spans="2:6">
      <c r="B15" s="63" t="s">
        <v>492</v>
      </c>
      <c r="C15" s="71"/>
    </row>
    <row r="16" spans="2:6">
      <c r="B16" s="63" t="s">
        <v>492</v>
      </c>
      <c r="C16" s="74"/>
    </row>
    <row r="17" spans="2:3">
      <c r="B17" s="63" t="s">
        <v>492</v>
      </c>
      <c r="C17" s="74"/>
    </row>
    <row r="18" spans="2:3">
      <c r="B18" s="63" t="s">
        <v>492</v>
      </c>
      <c r="C18" s="74"/>
    </row>
    <row r="19" spans="2:3">
      <c r="B19" s="63" t="s">
        <v>492</v>
      </c>
      <c r="C19" s="72"/>
    </row>
    <row r="20" spans="2:3">
      <c r="B20" s="63" t="s">
        <v>492</v>
      </c>
      <c r="C20" s="72"/>
    </row>
    <row r="21" spans="2:3">
      <c r="B21" s="63" t="s">
        <v>492</v>
      </c>
      <c r="C21" s="72"/>
    </row>
    <row r="22" spans="2:3">
      <c r="B22" s="63" t="s">
        <v>492</v>
      </c>
      <c r="C22" s="74"/>
    </row>
    <row r="23" spans="2:3">
      <c r="B23" s="63" t="s">
        <v>492</v>
      </c>
      <c r="C23" s="74"/>
    </row>
    <row r="24" spans="2:3">
      <c r="B24" s="63" t="s">
        <v>492</v>
      </c>
      <c r="C24" s="74"/>
    </row>
    <row r="25" spans="2:3">
      <c r="B25" s="63" t="s">
        <v>492</v>
      </c>
      <c r="C25" s="74"/>
    </row>
    <row r="26" spans="2:3">
      <c r="B26" s="63" t="s">
        <v>492</v>
      </c>
      <c r="C26" s="74"/>
    </row>
    <row r="27" spans="2:3">
      <c r="B27" s="63" t="s">
        <v>492</v>
      </c>
      <c r="C27" s="74"/>
    </row>
    <row r="28" spans="2:3">
      <c r="B28" s="63" t="s">
        <v>492</v>
      </c>
      <c r="C28" s="74"/>
    </row>
    <row r="29" spans="2:3">
      <c r="B29" s="63" t="s">
        <v>492</v>
      </c>
      <c r="C29" s="74"/>
    </row>
    <row r="30" spans="2:3">
      <c r="B30" s="63" t="s">
        <v>492</v>
      </c>
      <c r="C30" s="74"/>
    </row>
    <row r="31" spans="2:3">
      <c r="B31" s="63" t="s">
        <v>492</v>
      </c>
      <c r="C31" s="74"/>
    </row>
    <row r="32" spans="2:3">
      <c r="B32" s="63" t="s">
        <v>492</v>
      </c>
      <c r="C32" s="74"/>
    </row>
    <row r="33" spans="2:3">
      <c r="B33" s="63" t="s">
        <v>492</v>
      </c>
      <c r="C33" s="74"/>
    </row>
    <row r="34" spans="2:3">
      <c r="B34" s="63" t="s">
        <v>492</v>
      </c>
      <c r="C34" s="74"/>
    </row>
    <row r="35" spans="2:3">
      <c r="B35" s="63" t="s">
        <v>492</v>
      </c>
      <c r="C35" s="74"/>
    </row>
    <row r="36" spans="2:3">
      <c r="B36" s="63" t="s">
        <v>492</v>
      </c>
      <c r="C36" s="74"/>
    </row>
    <row r="37" spans="2:3">
      <c r="B37" s="63" t="s">
        <v>492</v>
      </c>
      <c r="C37" s="74"/>
    </row>
    <row r="38" spans="2:3">
      <c r="B38" s="63" t="s">
        <v>492</v>
      </c>
      <c r="C38" s="74"/>
    </row>
    <row r="39" spans="2:3">
      <c r="B39" s="63" t="s">
        <v>492</v>
      </c>
      <c r="C39" s="74"/>
    </row>
    <row r="40" spans="2:3">
      <c r="B40" s="63" t="s">
        <v>492</v>
      </c>
      <c r="C40" s="74"/>
    </row>
    <row r="41" spans="2:3">
      <c r="B41" s="63" t="s">
        <v>492</v>
      </c>
      <c r="C41" s="74"/>
    </row>
    <row r="42" spans="2:3">
      <c r="B42" s="63" t="s">
        <v>492</v>
      </c>
      <c r="C42" s="74"/>
    </row>
    <row r="43" spans="2:3">
      <c r="B43" s="63" t="s">
        <v>492</v>
      </c>
      <c r="C43" s="74"/>
    </row>
    <row r="44" spans="2:3">
      <c r="B44" s="63" t="s">
        <v>492</v>
      </c>
      <c r="C44" s="74"/>
    </row>
    <row r="45" spans="2:3">
      <c r="B45" s="63" t="s">
        <v>492</v>
      </c>
      <c r="C45" s="74"/>
    </row>
    <row r="46" spans="2:3">
      <c r="B46" s="63" t="s">
        <v>492</v>
      </c>
      <c r="C46" s="74"/>
    </row>
    <row r="47" spans="2:3">
      <c r="B47" s="63" t="s">
        <v>492</v>
      </c>
      <c r="C47" s="74"/>
    </row>
    <row r="48" spans="2:3">
      <c r="B48" s="63" t="s">
        <v>492</v>
      </c>
      <c r="C48" s="74"/>
    </row>
    <row r="49" spans="2:3">
      <c r="B49" s="63" t="s">
        <v>492</v>
      </c>
      <c r="C49" s="74"/>
    </row>
    <row r="50" spans="2:3">
      <c r="B50" s="63" t="s">
        <v>492</v>
      </c>
      <c r="C50" s="74"/>
    </row>
    <row r="51" spans="2:3">
      <c r="B51" s="63" t="s">
        <v>492</v>
      </c>
      <c r="C51" s="74"/>
    </row>
    <row r="52" spans="2:3">
      <c r="B52" s="63" t="s">
        <v>492</v>
      </c>
      <c r="C52" s="74"/>
    </row>
    <row r="53" spans="2:3">
      <c r="B53" s="63" t="s">
        <v>492</v>
      </c>
      <c r="C53" s="74"/>
    </row>
    <row r="54" spans="2:3">
      <c r="B54" s="63" t="s">
        <v>492</v>
      </c>
      <c r="C54" s="74"/>
    </row>
    <row r="55" spans="2:3">
      <c r="B55" s="63" t="s">
        <v>492</v>
      </c>
      <c r="C55" s="74"/>
    </row>
    <row r="56" spans="2:3">
      <c r="B56" s="63" t="s">
        <v>492</v>
      </c>
      <c r="C56" s="74"/>
    </row>
    <row r="57" spans="2:3">
      <c r="B57" s="63" t="s">
        <v>492</v>
      </c>
      <c r="C57" s="74"/>
    </row>
    <row r="58" spans="2:3">
      <c r="B58" s="63" t="s">
        <v>492</v>
      </c>
      <c r="C58" s="74"/>
    </row>
    <row r="59" spans="2:3">
      <c r="B59" s="63" t="s">
        <v>492</v>
      </c>
      <c r="C59" s="74"/>
    </row>
    <row r="60" spans="2:3">
      <c r="B60" s="63" t="s">
        <v>492</v>
      </c>
      <c r="C60" s="74"/>
    </row>
    <row r="61" spans="2:3">
      <c r="B61" s="63" t="s">
        <v>492</v>
      </c>
      <c r="C61" s="74"/>
    </row>
    <row r="62" spans="2:3">
      <c r="B62" s="63" t="s">
        <v>492</v>
      </c>
      <c r="C62" s="74"/>
    </row>
    <row r="63" spans="2:3">
      <c r="B63" s="63" t="s">
        <v>492</v>
      </c>
      <c r="C63" s="74"/>
    </row>
    <row r="64" spans="2:3">
      <c r="B64" s="63" t="s">
        <v>492</v>
      </c>
      <c r="C64" s="74"/>
    </row>
    <row r="65" spans="2:3">
      <c r="B65" s="63" t="s">
        <v>492</v>
      </c>
      <c r="C65" s="74"/>
    </row>
    <row r="66" spans="2:3">
      <c r="B66" s="63" t="s">
        <v>492</v>
      </c>
      <c r="C66" s="74"/>
    </row>
    <row r="67" spans="2:3">
      <c r="B67" s="63" t="s">
        <v>492</v>
      </c>
      <c r="C67" s="74"/>
    </row>
    <row r="68" spans="2:3">
      <c r="B68" s="63" t="s">
        <v>492</v>
      </c>
      <c r="C68" s="74"/>
    </row>
    <row r="69" spans="2:3">
      <c r="B69" s="63" t="s">
        <v>492</v>
      </c>
      <c r="C69" s="74"/>
    </row>
    <row r="70" spans="2:3">
      <c r="B70" s="63" t="s">
        <v>492</v>
      </c>
      <c r="C70" s="74"/>
    </row>
    <row r="71" spans="2:3">
      <c r="B71" s="63" t="s">
        <v>492</v>
      </c>
      <c r="C71" s="74"/>
    </row>
    <row r="72" spans="2:3">
      <c r="B72" s="63" t="s">
        <v>492</v>
      </c>
      <c r="C72" s="74"/>
    </row>
    <row r="73" spans="2:3">
      <c r="B73" s="63" t="s">
        <v>492</v>
      </c>
      <c r="C73" s="74"/>
    </row>
    <row r="74" spans="2:3">
      <c r="B74" s="63" t="s">
        <v>492</v>
      </c>
      <c r="C74" s="74"/>
    </row>
    <row r="75" spans="2:3">
      <c r="B75" s="63" t="s">
        <v>492</v>
      </c>
      <c r="C75" s="74"/>
    </row>
    <row r="76" spans="2:3">
      <c r="B76" s="63" t="s">
        <v>492</v>
      </c>
      <c r="C76" s="74"/>
    </row>
    <row r="77" spans="2:3">
      <c r="B77" s="63" t="s">
        <v>492</v>
      </c>
      <c r="C77" s="74"/>
    </row>
    <row r="78" spans="2:3">
      <c r="B78" s="63" t="s">
        <v>492</v>
      </c>
      <c r="C78" s="74"/>
    </row>
    <row r="79" spans="2:3">
      <c r="B79" s="63" t="s">
        <v>492</v>
      </c>
      <c r="C79" s="74"/>
    </row>
    <row r="80" spans="2:3">
      <c r="B80" s="63" t="s">
        <v>492</v>
      </c>
      <c r="C80" s="74"/>
    </row>
    <row r="81" spans="2:3">
      <c r="B81" s="63" t="s">
        <v>492</v>
      </c>
      <c r="C81" s="74"/>
    </row>
    <row r="82" spans="2:3">
      <c r="B82" s="63" t="s">
        <v>492</v>
      </c>
      <c r="C82" s="74"/>
    </row>
    <row r="83" spans="2:3">
      <c r="B83" s="63" t="s">
        <v>492</v>
      </c>
      <c r="C83" s="74"/>
    </row>
    <row r="84" spans="2:3">
      <c r="B84" s="63" t="s">
        <v>492</v>
      </c>
      <c r="C84" s="74"/>
    </row>
    <row r="85" spans="2:3">
      <c r="B85" s="63" t="s">
        <v>492</v>
      </c>
      <c r="C85" s="74"/>
    </row>
    <row r="86" spans="2:3">
      <c r="B86" s="63" t="s">
        <v>492</v>
      </c>
      <c r="C86" s="74"/>
    </row>
    <row r="87" spans="2:3">
      <c r="B87" s="63" t="s">
        <v>492</v>
      </c>
      <c r="C87" s="74"/>
    </row>
    <row r="88" spans="2:3">
      <c r="B88" s="63" t="s">
        <v>492</v>
      </c>
      <c r="C88" s="74"/>
    </row>
    <row r="89" spans="2:3">
      <c r="B89" s="63" t="s">
        <v>492</v>
      </c>
      <c r="C89" s="74"/>
    </row>
    <row r="90" spans="2:3">
      <c r="B90" s="63" t="s">
        <v>492</v>
      </c>
      <c r="C90" s="74"/>
    </row>
    <row r="91" spans="2:3">
      <c r="B91" s="63" t="s">
        <v>492</v>
      </c>
      <c r="C91" s="74"/>
    </row>
    <row r="92" spans="2:3">
      <c r="B92" s="63" t="s">
        <v>492</v>
      </c>
      <c r="C92" s="74"/>
    </row>
    <row r="93" spans="2:3">
      <c r="B93" s="63" t="s">
        <v>492</v>
      </c>
      <c r="C93" s="74"/>
    </row>
    <row r="94" spans="2:3">
      <c r="B94" s="63" t="s">
        <v>492</v>
      </c>
      <c r="C94" s="74"/>
    </row>
    <row r="95" spans="2:3">
      <c r="B95" s="63" t="s">
        <v>492</v>
      </c>
      <c r="C95" s="74"/>
    </row>
    <row r="96" spans="2:3">
      <c r="B96" s="63" t="s">
        <v>492</v>
      </c>
      <c r="C96" s="74"/>
    </row>
    <row r="97" spans="2:3">
      <c r="B97" s="63" t="s">
        <v>492</v>
      </c>
      <c r="C97" s="74"/>
    </row>
    <row r="98" spans="2:3">
      <c r="B98" s="63" t="s">
        <v>492</v>
      </c>
      <c r="C98" s="74"/>
    </row>
    <row r="99" spans="2:3">
      <c r="B99" s="63" t="s">
        <v>492</v>
      </c>
      <c r="C99" s="74"/>
    </row>
    <row r="100" spans="2:3">
      <c r="B100" s="63" t="s">
        <v>492</v>
      </c>
      <c r="C100" s="74"/>
    </row>
  </sheetData>
  <mergeCells count="1">
    <mergeCell ref="B3:C3"/>
  </mergeCells>
  <pageMargins left="0.7" right="0.7" top="0.75" bottom="0.75" header="0.3" footer="0.3"/>
  <ignoredErrors>
    <ignoredError sqref="E4:E5 B5"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B4:M41"/>
  <sheetViews>
    <sheetView showGridLines="0" topLeftCell="B1" workbookViewId="0">
      <selection activeCell="E22" sqref="E22"/>
    </sheetView>
  </sheetViews>
  <sheetFormatPr baseColWidth="10" defaultColWidth="11.5703125" defaultRowHeight="12.75"/>
  <cols>
    <col min="1" max="1" width="4" style="40" customWidth="1"/>
    <col min="2" max="2" width="23.28515625" style="41" customWidth="1"/>
    <col min="3" max="3" width="16.7109375" style="41" bestFit="1" customWidth="1"/>
    <col min="4" max="4" width="6.7109375" style="41" customWidth="1"/>
    <col min="5" max="5" width="11.85546875" style="42" customWidth="1"/>
    <col min="6" max="6" width="13.28515625" style="42" bestFit="1" customWidth="1"/>
    <col min="7" max="7" width="12.42578125" style="43" bestFit="1" customWidth="1"/>
    <col min="8" max="8" width="7.28515625" style="41" bestFit="1" customWidth="1"/>
    <col min="9" max="9" width="12.42578125" style="41" bestFit="1" customWidth="1"/>
    <col min="10" max="10" width="15.42578125" style="44" bestFit="1" customWidth="1"/>
    <col min="11" max="11" width="8.85546875" style="37" bestFit="1" customWidth="1"/>
    <col min="12" max="12" width="12.42578125" style="38" bestFit="1" customWidth="1"/>
    <col min="13" max="13" width="12.42578125" style="39" bestFit="1" customWidth="1"/>
    <col min="14" max="16384" width="11.5703125" style="40"/>
  </cols>
  <sheetData>
    <row r="4" spans="2:13" s="2" customFormat="1" ht="26.25">
      <c r="B4" s="6" t="s">
        <v>16</v>
      </c>
      <c r="C4" s="6" t="s">
        <v>17</v>
      </c>
      <c r="D4" s="5"/>
      <c r="E4" s="6" t="s">
        <v>18</v>
      </c>
      <c r="F4" s="7" t="s">
        <v>16</v>
      </c>
      <c r="G4" s="8" t="s">
        <v>17</v>
      </c>
      <c r="H4" s="5"/>
      <c r="I4" s="3" t="s">
        <v>17</v>
      </c>
      <c r="J4" s="4" t="s">
        <v>16</v>
      </c>
      <c r="K4" s="35"/>
      <c r="L4" s="24"/>
      <c r="M4" s="34"/>
    </row>
    <row r="5" spans="2:13" ht="25.5">
      <c r="B5" s="10">
        <v>23</v>
      </c>
      <c r="C5" s="11">
        <f>+B5/1000</f>
        <v>2.3E-2</v>
      </c>
      <c r="D5" s="9"/>
      <c r="E5" s="10">
        <v>7</v>
      </c>
      <c r="F5" s="12">
        <f>+E5/5</f>
        <v>1.4</v>
      </c>
      <c r="G5" s="11">
        <f>+F5/1000</f>
        <v>1.4E-3</v>
      </c>
      <c r="H5" s="9"/>
      <c r="I5" s="13">
        <v>1</v>
      </c>
      <c r="J5" s="14">
        <f>+I5*1000</f>
        <v>1000</v>
      </c>
    </row>
    <row r="7" spans="2:13">
      <c r="L7" s="41"/>
      <c r="M7" s="41"/>
    </row>
    <row r="8" spans="2:13" ht="25.5">
      <c r="B8" s="45"/>
      <c r="C8" s="20" t="s">
        <v>405</v>
      </c>
      <c r="D8" s="46"/>
      <c r="E8" s="47"/>
      <c r="F8" s="24" t="s">
        <v>238</v>
      </c>
      <c r="L8" s="43"/>
    </row>
    <row r="9" spans="2:13" s="2" customFormat="1">
      <c r="B9" s="19"/>
      <c r="C9" s="36" t="s">
        <v>235</v>
      </c>
      <c r="D9" s="22" t="s">
        <v>16</v>
      </c>
      <c r="E9" s="36" t="s">
        <v>236</v>
      </c>
      <c r="F9" s="24">
        <v>1.8</v>
      </c>
      <c r="G9" s="22" t="s">
        <v>364</v>
      </c>
      <c r="H9" s="36"/>
      <c r="I9" s="36"/>
      <c r="J9" s="27"/>
      <c r="K9" s="37"/>
      <c r="L9" s="48"/>
      <c r="M9" s="39"/>
    </row>
    <row r="10" spans="2:13" ht="14.25">
      <c r="B10" s="21" t="s">
        <v>6</v>
      </c>
      <c r="C10" s="49">
        <v>2.65</v>
      </c>
      <c r="D10" s="23">
        <v>5000</v>
      </c>
      <c r="E10" s="50">
        <f>+D10/C10</f>
        <v>1886.7924528301887</v>
      </c>
      <c r="F10" s="25">
        <f t="shared" ref="F10:F16" si="0">E10*$F$9</f>
        <v>3396.2264150943397</v>
      </c>
      <c r="G10" s="30">
        <f>F10/1000</f>
        <v>3.3962264150943398</v>
      </c>
      <c r="L10" s="43"/>
    </row>
    <row r="11" spans="2:13" ht="14.25">
      <c r="B11" s="21" t="s">
        <v>7</v>
      </c>
      <c r="C11" s="49">
        <v>3.1950000000000003</v>
      </c>
      <c r="D11" s="23">
        <v>5000</v>
      </c>
      <c r="E11" s="50">
        <f t="shared" ref="E11:E18" si="1">+D11/C11</f>
        <v>1564.9452269170577</v>
      </c>
      <c r="F11" s="25">
        <f t="shared" si="0"/>
        <v>2816.9014084507039</v>
      </c>
      <c r="G11" s="30">
        <f t="shared" ref="G11:G18" si="2">F11/1000</f>
        <v>2.816901408450704</v>
      </c>
      <c r="L11" s="43"/>
      <c r="M11" s="43"/>
    </row>
    <row r="12" spans="2:13" ht="14.25">
      <c r="B12" s="21" t="s">
        <v>8</v>
      </c>
      <c r="C12" s="49">
        <v>2.71</v>
      </c>
      <c r="D12" s="23">
        <v>5000</v>
      </c>
      <c r="E12" s="50">
        <f t="shared" si="1"/>
        <v>1845.0184501845019</v>
      </c>
      <c r="F12" s="25">
        <f t="shared" si="0"/>
        <v>3321.0332103321034</v>
      </c>
      <c r="G12" s="30">
        <f t="shared" si="2"/>
        <v>3.3210332103321032</v>
      </c>
      <c r="L12" s="41"/>
      <c r="M12" s="41"/>
    </row>
    <row r="13" spans="2:13" ht="14.25">
      <c r="B13" s="21" t="s">
        <v>9</v>
      </c>
      <c r="C13" s="49">
        <v>2.65</v>
      </c>
      <c r="D13" s="23">
        <v>5000</v>
      </c>
      <c r="E13" s="50">
        <f t="shared" si="1"/>
        <v>1886.7924528301887</v>
      </c>
      <c r="F13" s="25">
        <f t="shared" si="0"/>
        <v>3396.2264150943397</v>
      </c>
      <c r="G13" s="30">
        <f t="shared" si="2"/>
        <v>3.3962264150943398</v>
      </c>
    </row>
    <row r="14" spans="2:13" ht="14.25">
      <c r="B14" s="21" t="s">
        <v>10</v>
      </c>
      <c r="C14" s="49">
        <v>3.7450000000000001</v>
      </c>
      <c r="D14" s="23">
        <v>5000</v>
      </c>
      <c r="E14" s="50">
        <f t="shared" si="1"/>
        <v>1335.1134846461948</v>
      </c>
      <c r="F14" s="25">
        <f t="shared" si="0"/>
        <v>2403.2042723631507</v>
      </c>
      <c r="G14" s="30">
        <f t="shared" si="2"/>
        <v>2.4032042723631508</v>
      </c>
    </row>
    <row r="15" spans="2:13" ht="14.25">
      <c r="B15" s="21" t="s">
        <v>237</v>
      </c>
      <c r="C15" s="49">
        <v>2.62</v>
      </c>
      <c r="D15" s="23">
        <v>5000</v>
      </c>
      <c r="E15" s="50">
        <f>+D15/C15</f>
        <v>1908.3969465648854</v>
      </c>
      <c r="F15" s="25">
        <f>E15*$F$9</f>
        <v>3435.1145038167938</v>
      </c>
      <c r="G15" s="30">
        <f t="shared" si="2"/>
        <v>3.4351145038167936</v>
      </c>
    </row>
    <row r="16" spans="2:13" ht="25.5">
      <c r="B16" s="21" t="s">
        <v>11</v>
      </c>
      <c r="C16" s="49">
        <v>2.7</v>
      </c>
      <c r="D16" s="23">
        <v>5000</v>
      </c>
      <c r="E16" s="50">
        <f t="shared" si="1"/>
        <v>1851.8518518518517</v>
      </c>
      <c r="F16" s="25">
        <f t="shared" si="0"/>
        <v>3333.333333333333</v>
      </c>
      <c r="G16" s="30">
        <f t="shared" si="2"/>
        <v>3.333333333333333</v>
      </c>
    </row>
    <row r="17" spans="2:10" ht="13.5" thickBot="1">
      <c r="B17" s="44"/>
      <c r="C17" s="40"/>
      <c r="D17" s="51"/>
      <c r="E17" s="40"/>
      <c r="F17" s="24" t="s">
        <v>236</v>
      </c>
      <c r="G17" s="30"/>
    </row>
    <row r="18" spans="2:10" ht="15" thickBot="1">
      <c r="B18" s="33" t="s">
        <v>407</v>
      </c>
      <c r="C18" s="49">
        <v>2.65</v>
      </c>
      <c r="D18" s="23">
        <v>5000</v>
      </c>
      <c r="E18" s="50">
        <f t="shared" si="1"/>
        <v>1886.7924528301887</v>
      </c>
      <c r="F18" s="31">
        <f>E18*$F$9</f>
        <v>3396.2264150943397</v>
      </c>
      <c r="G18" s="32">
        <f t="shared" si="2"/>
        <v>3.3962264150943398</v>
      </c>
    </row>
    <row r="19" spans="2:10" ht="14.25">
      <c r="B19" s="45"/>
    </row>
    <row r="20" spans="2:10" ht="14.25">
      <c r="B20" s="52"/>
    </row>
    <row r="21" spans="2:10" ht="14.25">
      <c r="B21" s="52"/>
      <c r="F21" s="43"/>
    </row>
    <row r="22" spans="2:10" ht="14.25">
      <c r="I22" s="47"/>
    </row>
    <row r="23" spans="2:10">
      <c r="E23" s="53"/>
    </row>
    <row r="24" spans="2:10">
      <c r="D24" s="54"/>
      <c r="J24" s="54"/>
    </row>
    <row r="25" spans="2:10" ht="14.25">
      <c r="C25" s="43"/>
      <c r="G25" s="55"/>
      <c r="H25" s="55"/>
      <c r="I25" s="43"/>
    </row>
    <row r="27" spans="2:10">
      <c r="B27" s="43"/>
      <c r="E27" s="41"/>
    </row>
    <row r="28" spans="2:10">
      <c r="E28" s="41"/>
    </row>
    <row r="30" spans="2:10">
      <c r="C30" s="43"/>
    </row>
    <row r="32" spans="2:10">
      <c r="H32" s="54"/>
    </row>
    <row r="35" spans="6:7">
      <c r="F35" s="44"/>
    </row>
    <row r="39" spans="6:7">
      <c r="G39" s="56"/>
    </row>
    <row r="41" spans="6:7">
      <c r="G41" s="56"/>
    </row>
  </sheetData>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tabColor theme="6"/>
  </sheetPr>
  <dimension ref="A1:AD70"/>
  <sheetViews>
    <sheetView showGridLines="0" workbookViewId="0">
      <selection activeCell="E30" sqref="E30"/>
    </sheetView>
  </sheetViews>
  <sheetFormatPr baseColWidth="10" defaultColWidth="11.5703125" defaultRowHeight="12.75"/>
  <cols>
    <col min="1" max="1" width="5.7109375" style="118" customWidth="1"/>
    <col min="2" max="2" width="15.7109375" style="129" bestFit="1" customWidth="1"/>
    <col min="3" max="3" width="11.5703125" style="118"/>
    <col min="4" max="10" width="8.7109375" style="118" customWidth="1"/>
    <col min="11" max="11" width="6.28515625" style="138" customWidth="1"/>
    <col min="12" max="12" width="11.5703125" style="152"/>
    <col min="13" max="15" width="11.5703125" style="153"/>
    <col min="16" max="16" width="11.5703125" style="154"/>
    <col min="17" max="17" width="11.5703125" style="155"/>
    <col min="18" max="18" width="8.85546875" style="155" bestFit="1" customWidth="1"/>
    <col min="19" max="19" width="9.85546875" style="156" bestFit="1" customWidth="1"/>
    <col min="20" max="20" width="9.5703125" style="157" customWidth="1"/>
    <col min="21" max="24" width="11.5703125" style="153"/>
    <col min="25" max="25" width="15" style="153" customWidth="1"/>
    <col min="26" max="27" width="11.5703125" style="153"/>
    <col min="28" max="28" width="15.7109375" style="118" customWidth="1"/>
    <col min="29" max="29" width="12" style="129" bestFit="1" customWidth="1"/>
    <col min="30" max="30" width="11.5703125" style="129"/>
    <col min="31" max="16384" width="11.5703125" style="118"/>
  </cols>
  <sheetData>
    <row r="1" spans="1:30">
      <c r="B1" s="118"/>
    </row>
    <row r="2" spans="1:30">
      <c r="B2" s="129">
        <v>1</v>
      </c>
      <c r="C2" s="129">
        <v>2</v>
      </c>
      <c r="D2" s="129">
        <v>3</v>
      </c>
      <c r="E2" s="129">
        <v>4</v>
      </c>
      <c r="F2" s="129">
        <v>5</v>
      </c>
      <c r="G2" s="129">
        <v>6</v>
      </c>
      <c r="H2" s="129">
        <v>7</v>
      </c>
      <c r="I2" s="129">
        <v>8</v>
      </c>
      <c r="J2" s="129">
        <v>9</v>
      </c>
    </row>
    <row r="3" spans="1:30" ht="26.25" thickBot="1">
      <c r="C3" s="535" t="s">
        <v>476</v>
      </c>
      <c r="D3" s="535"/>
      <c r="E3" s="535"/>
      <c r="F3" s="535"/>
      <c r="G3" s="535"/>
      <c r="H3" s="535"/>
      <c r="I3" s="535"/>
      <c r="J3" s="535"/>
      <c r="K3" s="85"/>
      <c r="L3" s="124" t="s">
        <v>174</v>
      </c>
      <c r="M3" s="19" t="s">
        <v>175</v>
      </c>
      <c r="N3" s="19" t="s">
        <v>176</v>
      </c>
      <c r="O3" s="19" t="s">
        <v>177</v>
      </c>
      <c r="P3" s="125" t="s">
        <v>234</v>
      </c>
      <c r="Q3" s="126" t="s">
        <v>185</v>
      </c>
      <c r="R3" s="126" t="s">
        <v>364</v>
      </c>
      <c r="S3" s="127" t="s">
        <v>358</v>
      </c>
      <c r="T3" s="128" t="s">
        <v>363</v>
      </c>
      <c r="U3" s="19" t="s">
        <v>178</v>
      </c>
      <c r="V3" s="19" t="s">
        <v>179</v>
      </c>
      <c r="W3" s="19" t="s">
        <v>180</v>
      </c>
      <c r="X3" s="19" t="s">
        <v>181</v>
      </c>
      <c r="Y3" s="19" t="s">
        <v>182</v>
      </c>
      <c r="Z3" s="19" t="s">
        <v>183</v>
      </c>
      <c r="AA3" s="19" t="s">
        <v>184</v>
      </c>
    </row>
    <row r="4" spans="1:30" ht="13.5" thickBot="1">
      <c r="B4" s="158" t="s">
        <v>384</v>
      </c>
      <c r="C4" s="99" t="s">
        <v>358</v>
      </c>
      <c r="D4" s="99" t="s">
        <v>387</v>
      </c>
      <c r="E4" s="99" t="s">
        <v>410</v>
      </c>
      <c r="F4" s="100" t="s">
        <v>411</v>
      </c>
      <c r="G4" s="101" t="s">
        <v>236</v>
      </c>
      <c r="H4" s="87" t="s">
        <v>413</v>
      </c>
      <c r="I4" s="102" t="s">
        <v>364</v>
      </c>
      <c r="J4" s="103" t="s">
        <v>412</v>
      </c>
      <c r="K4" s="86"/>
      <c r="L4" s="130" t="s">
        <v>239</v>
      </c>
      <c r="M4" s="131">
        <v>16</v>
      </c>
      <c r="N4" s="131">
        <v>12</v>
      </c>
      <c r="O4" s="131">
        <v>11</v>
      </c>
      <c r="P4" s="132">
        <f t="shared" ref="P4:P35" si="0">+M4*N4*O4</f>
        <v>2112</v>
      </c>
      <c r="Q4" s="133">
        <f t="shared" ref="Q4:Q35" si="1">(M4*N4*O4)/1000000</f>
        <v>2.1120000000000002E-3</v>
      </c>
      <c r="R4" s="133">
        <f>P4/1000</f>
        <v>2.1120000000000001</v>
      </c>
      <c r="S4" s="134">
        <v>2</v>
      </c>
      <c r="T4" s="133">
        <f t="shared" ref="T4:T33" si="2">+P4*$AC$6</f>
        <v>5.6789333333333331E-2</v>
      </c>
      <c r="U4" s="131">
        <v>2400</v>
      </c>
      <c r="V4" s="131" t="s">
        <v>240</v>
      </c>
      <c r="W4" s="131">
        <v>20</v>
      </c>
      <c r="X4" s="131" t="s">
        <v>241</v>
      </c>
      <c r="Y4" s="131" t="s">
        <v>242</v>
      </c>
      <c r="Z4" s="131" t="s">
        <v>243</v>
      </c>
      <c r="AA4" s="131" t="s">
        <v>244</v>
      </c>
      <c r="AB4" s="135" t="s">
        <v>359</v>
      </c>
    </row>
    <row r="5" spans="1:30">
      <c r="A5" s="118">
        <v>1</v>
      </c>
      <c r="B5" s="162" t="s">
        <v>565</v>
      </c>
      <c r="C5" s="109">
        <v>0</v>
      </c>
      <c r="D5" s="109">
        <v>0</v>
      </c>
      <c r="E5" s="109">
        <v>0</v>
      </c>
      <c r="F5" s="110">
        <v>0</v>
      </c>
      <c r="G5" s="65">
        <f>+IF(ISBLANK(C5)," ",D5*E5*F5)</f>
        <v>0</v>
      </c>
      <c r="H5" s="111">
        <f>IF(ISBLANK(C5)," ",+G5/1000000)</f>
        <v>0</v>
      </c>
      <c r="I5" s="112">
        <f>IF(ISBLANK(C5)," ",G5/1000)</f>
        <v>0</v>
      </c>
      <c r="J5" s="163">
        <v>0</v>
      </c>
      <c r="K5" s="113"/>
      <c r="L5" s="130" t="s">
        <v>245</v>
      </c>
      <c r="M5" s="131">
        <v>20</v>
      </c>
      <c r="N5" s="131">
        <v>15</v>
      </c>
      <c r="O5" s="131">
        <v>12</v>
      </c>
      <c r="P5" s="132">
        <f t="shared" si="0"/>
        <v>3600</v>
      </c>
      <c r="Q5" s="133">
        <f t="shared" si="1"/>
        <v>3.5999999999999999E-3</v>
      </c>
      <c r="R5" s="133">
        <f t="shared" ref="R5:R68" si="3">P5/1000</f>
        <v>3.6</v>
      </c>
      <c r="S5" s="134">
        <v>2</v>
      </c>
      <c r="T5" s="133">
        <f t="shared" si="2"/>
        <v>9.6799999999999997E-2</v>
      </c>
      <c r="U5" s="131">
        <v>1200</v>
      </c>
      <c r="V5" s="131" t="s">
        <v>240</v>
      </c>
      <c r="W5" s="131">
        <v>20</v>
      </c>
      <c r="X5" s="131" t="s">
        <v>246</v>
      </c>
      <c r="Y5" s="131" t="s">
        <v>247</v>
      </c>
      <c r="Z5" s="131" t="s">
        <v>248</v>
      </c>
      <c r="AA5" s="131" t="s">
        <v>249</v>
      </c>
      <c r="AB5" s="135" t="s">
        <v>360</v>
      </c>
    </row>
    <row r="6" spans="1:30">
      <c r="A6" s="118">
        <v>2</v>
      </c>
      <c r="B6" s="162" t="str">
        <f>D6&amp;" x "&amp;E6&amp;" x "&amp;F6&amp;"       "&amp;C6</f>
        <v>30 x 30 x 15       2</v>
      </c>
      <c r="C6" s="114">
        <v>2</v>
      </c>
      <c r="D6" s="114">
        <v>30</v>
      </c>
      <c r="E6" s="114">
        <v>30</v>
      </c>
      <c r="F6" s="115">
        <v>15</v>
      </c>
      <c r="G6" s="58">
        <f>+F6*E6*D6</f>
        <v>13500</v>
      </c>
      <c r="H6" s="116">
        <f>+G6/1000000</f>
        <v>1.35E-2</v>
      </c>
      <c r="I6" s="117">
        <f>+G6/1000</f>
        <v>13.5</v>
      </c>
      <c r="J6" s="164">
        <v>0.36299999999999999</v>
      </c>
      <c r="K6" s="113"/>
      <c r="L6" s="130" t="s">
        <v>250</v>
      </c>
      <c r="M6" s="131">
        <v>20</v>
      </c>
      <c r="N6" s="131">
        <v>15</v>
      </c>
      <c r="O6" s="131">
        <v>15</v>
      </c>
      <c r="P6" s="132">
        <f t="shared" si="0"/>
        <v>4500</v>
      </c>
      <c r="Q6" s="133">
        <f t="shared" si="1"/>
        <v>4.4999999999999997E-3</v>
      </c>
      <c r="R6" s="133">
        <f t="shared" si="3"/>
        <v>4.5</v>
      </c>
      <c r="S6" s="134">
        <v>2</v>
      </c>
      <c r="T6" s="133">
        <f t="shared" si="2"/>
        <v>0.121</v>
      </c>
      <c r="U6" s="131">
        <v>900</v>
      </c>
      <c r="V6" s="131" t="s">
        <v>240</v>
      </c>
      <c r="W6" s="131">
        <v>20</v>
      </c>
      <c r="X6" s="131" t="s">
        <v>247</v>
      </c>
      <c r="Y6" s="131" t="s">
        <v>249</v>
      </c>
      <c r="Z6" s="131" t="s">
        <v>251</v>
      </c>
      <c r="AA6" s="131" t="s">
        <v>252</v>
      </c>
      <c r="AB6" s="135" t="s">
        <v>361</v>
      </c>
      <c r="AC6" s="129">
        <v>2.6888888888888887E-5</v>
      </c>
    </row>
    <row r="7" spans="1:30">
      <c r="A7" s="118">
        <v>3</v>
      </c>
      <c r="B7" s="162" t="str">
        <f>D7&amp;" x "&amp;E7&amp;" x "&amp;F7&amp;"       "&amp;C7</f>
        <v>30 x 25 x 20       2</v>
      </c>
      <c r="C7" s="114">
        <v>2</v>
      </c>
      <c r="D7" s="114">
        <v>30</v>
      </c>
      <c r="E7" s="114">
        <v>25</v>
      </c>
      <c r="F7" s="115">
        <v>20</v>
      </c>
      <c r="G7" s="58">
        <f>+F7*E7*D7</f>
        <v>15000</v>
      </c>
      <c r="H7" s="116">
        <f>+G7/1000000</f>
        <v>1.4999999999999999E-2</v>
      </c>
      <c r="I7" s="117">
        <f>+G7/1000</f>
        <v>15</v>
      </c>
      <c r="J7" s="164">
        <v>0.40300000000000002</v>
      </c>
      <c r="K7" s="113"/>
      <c r="L7" s="130" t="s">
        <v>264</v>
      </c>
      <c r="M7" s="131">
        <v>25</v>
      </c>
      <c r="N7" s="131">
        <v>25</v>
      </c>
      <c r="O7" s="131">
        <v>10</v>
      </c>
      <c r="P7" s="132">
        <f t="shared" si="0"/>
        <v>6250</v>
      </c>
      <c r="Q7" s="133">
        <f t="shared" si="1"/>
        <v>6.2500000000000003E-3</v>
      </c>
      <c r="R7" s="133">
        <f t="shared" si="3"/>
        <v>6.25</v>
      </c>
      <c r="S7" s="134">
        <v>2</v>
      </c>
      <c r="T7" s="133">
        <f t="shared" si="2"/>
        <v>0.16805555555555554</v>
      </c>
      <c r="U7" s="131">
        <v>900</v>
      </c>
      <c r="V7" s="131" t="s">
        <v>240</v>
      </c>
      <c r="W7" s="131">
        <v>20</v>
      </c>
      <c r="X7" s="131" t="s">
        <v>265</v>
      </c>
      <c r="Y7" s="131" t="s">
        <v>266</v>
      </c>
      <c r="Z7" s="131" t="s">
        <v>267</v>
      </c>
      <c r="AA7" s="131" t="s">
        <v>268</v>
      </c>
      <c r="AB7" s="135" t="s">
        <v>362</v>
      </c>
      <c r="AC7" s="129">
        <v>4.2617361657487543E-5</v>
      </c>
    </row>
    <row r="8" spans="1:30">
      <c r="A8" s="118">
        <v>4</v>
      </c>
      <c r="B8" s="162" t="str">
        <f>D8&amp;" x "&amp;E8&amp;" x "&amp;F8&amp;"       "&amp;C8</f>
        <v>25 x 25 x 25       2</v>
      </c>
      <c r="C8" s="114">
        <v>2</v>
      </c>
      <c r="D8" s="114">
        <v>25</v>
      </c>
      <c r="E8" s="114">
        <v>25</v>
      </c>
      <c r="F8" s="115">
        <v>25</v>
      </c>
      <c r="G8" s="58">
        <f>+IF(ISBLANK(C8)," ",D8*E8*F8)</f>
        <v>15625</v>
      </c>
      <c r="H8" s="116">
        <f>IF(ISBLANK(C8)," ",+G8/1000000)</f>
        <v>1.5625E-2</v>
      </c>
      <c r="I8" s="117">
        <f>IF(ISBLANK(C8)," ",G8/1000)</f>
        <v>15.625</v>
      </c>
      <c r="J8" s="164">
        <v>0.42</v>
      </c>
      <c r="K8" s="113"/>
      <c r="L8" s="130" t="s">
        <v>256</v>
      </c>
      <c r="M8" s="131">
        <v>25</v>
      </c>
      <c r="N8" s="131">
        <v>18</v>
      </c>
      <c r="O8" s="131">
        <v>14</v>
      </c>
      <c r="P8" s="132">
        <f t="shared" si="0"/>
        <v>6300</v>
      </c>
      <c r="Q8" s="133">
        <f t="shared" si="1"/>
        <v>6.3E-3</v>
      </c>
      <c r="R8" s="133">
        <f t="shared" si="3"/>
        <v>6.3</v>
      </c>
      <c r="S8" s="134">
        <v>2</v>
      </c>
      <c r="T8" s="133">
        <f t="shared" si="2"/>
        <v>0.1694</v>
      </c>
      <c r="U8" s="131">
        <v>1200</v>
      </c>
      <c r="V8" s="131" t="s">
        <v>240</v>
      </c>
      <c r="W8" s="131">
        <v>20</v>
      </c>
      <c r="X8" s="131" t="s">
        <v>257</v>
      </c>
      <c r="Y8" s="131" t="s">
        <v>247</v>
      </c>
      <c r="Z8" s="131" t="s">
        <v>258</v>
      </c>
      <c r="AA8" s="131" t="s">
        <v>259</v>
      </c>
      <c r="AB8" s="135"/>
    </row>
    <row r="9" spans="1:30">
      <c r="A9" s="118">
        <v>5</v>
      </c>
      <c r="B9" s="162" t="str">
        <f>D9&amp;" x "&amp;E9&amp;" x "&amp;F9&amp;"       "&amp;C9</f>
        <v>30 x 30 x 20       2</v>
      </c>
      <c r="C9" s="114">
        <v>2</v>
      </c>
      <c r="D9" s="114">
        <v>30</v>
      </c>
      <c r="E9" s="114">
        <v>30</v>
      </c>
      <c r="F9" s="115">
        <v>20</v>
      </c>
      <c r="G9" s="58">
        <f>+F9*E9*D9</f>
        <v>18000</v>
      </c>
      <c r="H9" s="116">
        <f>+G9/1000000</f>
        <v>1.7999999999999999E-2</v>
      </c>
      <c r="I9" s="117">
        <f>+G9/1000</f>
        <v>18</v>
      </c>
      <c r="J9" s="164">
        <v>0.48399999999999999</v>
      </c>
      <c r="K9" s="113"/>
      <c r="L9" s="130" t="s">
        <v>299</v>
      </c>
      <c r="M9" s="131">
        <v>31</v>
      </c>
      <c r="N9" s="131">
        <v>21.5</v>
      </c>
      <c r="O9" s="131">
        <v>10</v>
      </c>
      <c r="P9" s="132">
        <f t="shared" si="0"/>
        <v>6665</v>
      </c>
      <c r="Q9" s="133">
        <f t="shared" si="1"/>
        <v>6.6649999999999999E-3</v>
      </c>
      <c r="R9" s="133">
        <f t="shared" si="3"/>
        <v>6.665</v>
      </c>
      <c r="S9" s="134">
        <v>2</v>
      </c>
      <c r="T9" s="133">
        <f t="shared" si="2"/>
        <v>0.17921444444444443</v>
      </c>
      <c r="U9" s="131">
        <v>900</v>
      </c>
      <c r="V9" s="131" t="s">
        <v>240</v>
      </c>
      <c r="W9" s="131">
        <v>20</v>
      </c>
      <c r="X9" s="131" t="s">
        <v>278</v>
      </c>
      <c r="Y9" s="131" t="s">
        <v>300</v>
      </c>
      <c r="Z9" s="131" t="s">
        <v>301</v>
      </c>
      <c r="AA9" s="131" t="s">
        <v>302</v>
      </c>
      <c r="AB9" s="135"/>
    </row>
    <row r="10" spans="1:30">
      <c r="A10" s="118">
        <v>6</v>
      </c>
      <c r="B10" s="162" t="str">
        <f>D10&amp;" x "&amp;E10&amp;" x "&amp;F10&amp;"       "&amp;C10</f>
        <v>40 x 30 x 20       2</v>
      </c>
      <c r="C10" s="114">
        <v>2</v>
      </c>
      <c r="D10" s="114">
        <v>40</v>
      </c>
      <c r="E10" s="114">
        <v>30</v>
      </c>
      <c r="F10" s="115">
        <v>20</v>
      </c>
      <c r="G10" s="58">
        <f>+IF(ISBLANK(C10)," ",D10*E10*F10)</f>
        <v>24000</v>
      </c>
      <c r="H10" s="116">
        <f>IF(ISBLANK(C10)," ",+G10/1000000)</f>
        <v>2.4E-2</v>
      </c>
      <c r="I10" s="117">
        <f>IF(ISBLANK(C10)," ",G10/1000)</f>
        <v>24</v>
      </c>
      <c r="J10" s="164">
        <v>0.64500000000000002</v>
      </c>
      <c r="K10" s="113"/>
      <c r="L10" s="130" t="s">
        <v>260</v>
      </c>
      <c r="M10" s="131">
        <v>25</v>
      </c>
      <c r="N10" s="131">
        <v>20</v>
      </c>
      <c r="O10" s="131">
        <v>15</v>
      </c>
      <c r="P10" s="132">
        <f t="shared" si="0"/>
        <v>7500</v>
      </c>
      <c r="Q10" s="133">
        <f t="shared" si="1"/>
        <v>7.4999999999999997E-3</v>
      </c>
      <c r="R10" s="133">
        <f t="shared" si="3"/>
        <v>7.5</v>
      </c>
      <c r="S10" s="134">
        <v>2</v>
      </c>
      <c r="T10" s="133">
        <f t="shared" si="2"/>
        <v>0.20166666666666666</v>
      </c>
      <c r="U10" s="131">
        <v>900</v>
      </c>
      <c r="V10" s="131" t="s">
        <v>240</v>
      </c>
      <c r="W10" s="131">
        <v>20</v>
      </c>
      <c r="X10" s="131" t="s">
        <v>261</v>
      </c>
      <c r="Y10" s="131" t="s">
        <v>262</v>
      </c>
      <c r="Z10" s="131" t="s">
        <v>263</v>
      </c>
      <c r="AA10" s="131" t="s">
        <v>254</v>
      </c>
      <c r="AB10" s="118" t="s">
        <v>365</v>
      </c>
      <c r="AC10" s="118">
        <v>450</v>
      </c>
      <c r="AD10" s="118" t="s">
        <v>366</v>
      </c>
    </row>
    <row r="11" spans="1:30">
      <c r="A11" s="118">
        <v>7</v>
      </c>
      <c r="B11" s="162" t="str">
        <f t="shared" ref="B11:B61" si="4">D11&amp;" x "&amp;E11&amp;" x "&amp;F11&amp;"       "&amp;C11</f>
        <v xml:space="preserve"> x  x        </v>
      </c>
      <c r="C11" s="114"/>
      <c r="D11" s="114"/>
      <c r="E11" s="114"/>
      <c r="F11" s="115"/>
      <c r="G11" s="58" t="str">
        <f t="shared" ref="G11:G16" si="5">+IF(ISBLANK(C11)," ",D11*E11*F11)</f>
        <v xml:space="preserve"> </v>
      </c>
      <c r="H11" s="116" t="str">
        <f t="shared" ref="H11:H16" si="6">IF(ISBLANK(C11)," ",+G11/1000000)</f>
        <v xml:space="preserve"> </v>
      </c>
      <c r="I11" s="117" t="str">
        <f t="shared" ref="I11:I16" si="7">IF(ISBLANK(C11)," ",G11/1000)</f>
        <v xml:space="preserve"> </v>
      </c>
      <c r="J11" s="164"/>
      <c r="K11" s="113"/>
      <c r="L11" s="130" t="s">
        <v>253</v>
      </c>
      <c r="M11" s="131">
        <v>20</v>
      </c>
      <c r="N11" s="131">
        <v>20</v>
      </c>
      <c r="O11" s="131">
        <v>20</v>
      </c>
      <c r="P11" s="132">
        <f t="shared" si="0"/>
        <v>8000</v>
      </c>
      <c r="Q11" s="133">
        <f t="shared" si="1"/>
        <v>8.0000000000000002E-3</v>
      </c>
      <c r="R11" s="133">
        <f t="shared" si="3"/>
        <v>8</v>
      </c>
      <c r="S11" s="134">
        <v>2</v>
      </c>
      <c r="T11" s="133">
        <f t="shared" si="2"/>
        <v>0.21511111111111109</v>
      </c>
      <c r="U11" s="131">
        <v>900</v>
      </c>
      <c r="V11" s="131" t="s">
        <v>240</v>
      </c>
      <c r="W11" s="131">
        <v>20</v>
      </c>
      <c r="X11" s="131" t="s">
        <v>254</v>
      </c>
      <c r="Y11" s="136" t="s">
        <v>255</v>
      </c>
      <c r="Z11" s="136"/>
      <c r="AA11" s="136"/>
      <c r="AB11" s="118" t="s">
        <v>367</v>
      </c>
      <c r="AC11" s="118">
        <v>840</v>
      </c>
      <c r="AD11" s="118" t="s">
        <v>366</v>
      </c>
    </row>
    <row r="12" spans="1:30">
      <c r="A12" s="118">
        <v>8</v>
      </c>
      <c r="B12" s="162" t="str">
        <f t="shared" si="4"/>
        <v xml:space="preserve"> x  x        </v>
      </c>
      <c r="C12" s="114"/>
      <c r="D12" s="114"/>
      <c r="E12" s="114"/>
      <c r="F12" s="115"/>
      <c r="G12" s="58" t="str">
        <f t="shared" si="5"/>
        <v xml:space="preserve"> </v>
      </c>
      <c r="H12" s="116" t="str">
        <f t="shared" si="6"/>
        <v xml:space="preserve"> </v>
      </c>
      <c r="I12" s="117" t="str">
        <f t="shared" si="7"/>
        <v xml:space="preserve"> </v>
      </c>
      <c r="J12" s="164"/>
      <c r="K12" s="113"/>
      <c r="L12" s="130" t="s">
        <v>317</v>
      </c>
      <c r="M12" s="131">
        <v>35</v>
      </c>
      <c r="N12" s="131">
        <v>22</v>
      </c>
      <c r="O12" s="131">
        <v>12</v>
      </c>
      <c r="P12" s="132">
        <f t="shared" si="0"/>
        <v>9240</v>
      </c>
      <c r="Q12" s="133">
        <f t="shared" si="1"/>
        <v>9.2399999999999999E-3</v>
      </c>
      <c r="R12" s="133">
        <f t="shared" si="3"/>
        <v>9.24</v>
      </c>
      <c r="S12" s="134">
        <v>2</v>
      </c>
      <c r="T12" s="133">
        <f t="shared" si="2"/>
        <v>0.2484533333333333</v>
      </c>
      <c r="U12" s="131">
        <v>900</v>
      </c>
      <c r="V12" s="131" t="s">
        <v>240</v>
      </c>
      <c r="W12" s="131">
        <v>20</v>
      </c>
      <c r="X12" s="131" t="s">
        <v>307</v>
      </c>
      <c r="Y12" s="131" t="s">
        <v>277</v>
      </c>
      <c r="Z12" s="131" t="s">
        <v>278</v>
      </c>
      <c r="AA12" s="131" t="s">
        <v>267</v>
      </c>
      <c r="AB12" s="118" t="s">
        <v>368</v>
      </c>
      <c r="AC12" s="137">
        <v>1370</v>
      </c>
      <c r="AD12" s="118" t="s">
        <v>366</v>
      </c>
    </row>
    <row r="13" spans="1:30">
      <c r="A13" s="118">
        <v>9</v>
      </c>
      <c r="B13" s="162" t="str">
        <f t="shared" si="4"/>
        <v xml:space="preserve"> x  x        </v>
      </c>
      <c r="C13" s="114"/>
      <c r="D13" s="114"/>
      <c r="E13" s="114"/>
      <c r="F13" s="115"/>
      <c r="G13" s="58" t="str">
        <f t="shared" si="5"/>
        <v xml:space="preserve"> </v>
      </c>
      <c r="H13" s="116" t="str">
        <f t="shared" si="6"/>
        <v xml:space="preserve"> </v>
      </c>
      <c r="I13" s="117" t="str">
        <f t="shared" si="7"/>
        <v xml:space="preserve"> </v>
      </c>
      <c r="J13" s="164"/>
      <c r="K13" s="113"/>
      <c r="L13" s="130" t="s">
        <v>269</v>
      </c>
      <c r="M13" s="131">
        <v>25</v>
      </c>
      <c r="N13" s="131">
        <v>25</v>
      </c>
      <c r="O13" s="131">
        <v>16</v>
      </c>
      <c r="P13" s="132">
        <f t="shared" si="0"/>
        <v>10000</v>
      </c>
      <c r="Q13" s="133">
        <f t="shared" si="1"/>
        <v>0.01</v>
      </c>
      <c r="R13" s="133">
        <f t="shared" si="3"/>
        <v>10</v>
      </c>
      <c r="S13" s="134">
        <v>2</v>
      </c>
      <c r="T13" s="133">
        <f t="shared" si="2"/>
        <v>0.26888888888888884</v>
      </c>
      <c r="U13" s="131">
        <v>900</v>
      </c>
      <c r="V13" s="131" t="s">
        <v>240</v>
      </c>
      <c r="W13" s="131">
        <v>20</v>
      </c>
      <c r="X13" s="131" t="s">
        <v>270</v>
      </c>
      <c r="Y13" s="131" t="s">
        <v>271</v>
      </c>
      <c r="Z13" s="131" t="s">
        <v>272</v>
      </c>
      <c r="AA13" s="131" t="s">
        <v>273</v>
      </c>
    </row>
    <row r="14" spans="1:30">
      <c r="A14" s="118">
        <v>10</v>
      </c>
      <c r="B14" s="162" t="str">
        <f t="shared" si="4"/>
        <v xml:space="preserve"> x  x        </v>
      </c>
      <c r="C14" s="119"/>
      <c r="D14" s="119"/>
      <c r="E14" s="119"/>
      <c r="F14" s="120"/>
      <c r="G14" s="58" t="str">
        <f t="shared" si="5"/>
        <v xml:space="preserve"> </v>
      </c>
      <c r="H14" s="116" t="str">
        <f t="shared" si="6"/>
        <v xml:space="preserve"> </v>
      </c>
      <c r="I14" s="117" t="str">
        <f t="shared" si="7"/>
        <v xml:space="preserve"> </v>
      </c>
      <c r="J14" s="164"/>
      <c r="K14" s="121"/>
      <c r="L14" s="130" t="s">
        <v>279</v>
      </c>
      <c r="M14" s="131">
        <v>30</v>
      </c>
      <c r="N14" s="131">
        <v>20</v>
      </c>
      <c r="O14" s="131">
        <v>17</v>
      </c>
      <c r="P14" s="132">
        <f t="shared" si="0"/>
        <v>10200</v>
      </c>
      <c r="Q14" s="133">
        <f t="shared" si="1"/>
        <v>1.0200000000000001E-2</v>
      </c>
      <c r="R14" s="133">
        <f t="shared" si="3"/>
        <v>10.199999999999999</v>
      </c>
      <c r="S14" s="134">
        <v>2</v>
      </c>
      <c r="T14" s="133">
        <f t="shared" si="2"/>
        <v>0.27426666666666666</v>
      </c>
      <c r="U14" s="131">
        <v>900</v>
      </c>
      <c r="V14" s="131" t="s">
        <v>240</v>
      </c>
      <c r="W14" s="131">
        <v>20</v>
      </c>
      <c r="X14" s="131" t="s">
        <v>257</v>
      </c>
      <c r="Y14" s="131" t="s">
        <v>247</v>
      </c>
      <c r="Z14" s="131" t="s">
        <v>258</v>
      </c>
      <c r="AA14" s="131" t="s">
        <v>259</v>
      </c>
    </row>
    <row r="15" spans="1:30">
      <c r="A15" s="118">
        <v>11</v>
      </c>
      <c r="B15" s="162" t="str">
        <f t="shared" si="4"/>
        <v xml:space="preserve"> x  x        </v>
      </c>
      <c r="C15" s="119"/>
      <c r="D15" s="119"/>
      <c r="E15" s="122"/>
      <c r="F15" s="115"/>
      <c r="G15" s="58" t="str">
        <f t="shared" si="5"/>
        <v xml:space="preserve"> </v>
      </c>
      <c r="H15" s="116" t="str">
        <f t="shared" si="6"/>
        <v xml:space="preserve"> </v>
      </c>
      <c r="I15" s="117" t="str">
        <f t="shared" si="7"/>
        <v xml:space="preserve"> </v>
      </c>
      <c r="J15" s="164"/>
      <c r="K15" s="121"/>
      <c r="L15" s="130" t="s">
        <v>303</v>
      </c>
      <c r="M15" s="131">
        <v>31</v>
      </c>
      <c r="N15" s="131">
        <v>22</v>
      </c>
      <c r="O15" s="131">
        <v>15</v>
      </c>
      <c r="P15" s="132">
        <f t="shared" si="0"/>
        <v>10230</v>
      </c>
      <c r="Q15" s="133">
        <f t="shared" si="1"/>
        <v>1.023E-2</v>
      </c>
      <c r="R15" s="133">
        <f t="shared" si="3"/>
        <v>10.23</v>
      </c>
      <c r="S15" s="134">
        <v>2</v>
      </c>
      <c r="T15" s="133">
        <f t="shared" si="2"/>
        <v>0.27507333333333334</v>
      </c>
      <c r="U15" s="131">
        <v>900</v>
      </c>
      <c r="V15" s="131" t="s">
        <v>240</v>
      </c>
      <c r="W15" s="131">
        <v>20</v>
      </c>
      <c r="X15" s="131" t="s">
        <v>295</v>
      </c>
      <c r="Y15" s="131" t="s">
        <v>296</v>
      </c>
      <c r="Z15" s="131" t="s">
        <v>297</v>
      </c>
      <c r="AA15" s="131" t="s">
        <v>298</v>
      </c>
    </row>
    <row r="16" spans="1:30">
      <c r="A16" s="118">
        <v>12</v>
      </c>
      <c r="B16" s="162" t="str">
        <f t="shared" si="4"/>
        <v xml:space="preserve"> x  x        </v>
      </c>
      <c r="C16" s="119"/>
      <c r="D16" s="119"/>
      <c r="E16" s="57"/>
      <c r="F16" s="123"/>
      <c r="G16" s="159" t="str">
        <f t="shared" si="5"/>
        <v xml:space="preserve"> </v>
      </c>
      <c r="H16" s="160" t="str">
        <f t="shared" si="6"/>
        <v xml:space="preserve"> </v>
      </c>
      <c r="I16" s="161" t="str">
        <f t="shared" si="7"/>
        <v xml:space="preserve"> </v>
      </c>
      <c r="J16" s="164"/>
      <c r="K16" s="121"/>
      <c r="L16" s="130" t="s">
        <v>312</v>
      </c>
      <c r="M16" s="131">
        <v>34</v>
      </c>
      <c r="N16" s="131">
        <v>21</v>
      </c>
      <c r="O16" s="131">
        <v>15.5</v>
      </c>
      <c r="P16" s="132">
        <f t="shared" si="0"/>
        <v>11067</v>
      </c>
      <c r="Q16" s="133">
        <f t="shared" si="1"/>
        <v>1.1067E-2</v>
      </c>
      <c r="R16" s="133">
        <f t="shared" si="3"/>
        <v>11.067</v>
      </c>
      <c r="S16" s="134">
        <v>2</v>
      </c>
      <c r="T16" s="133">
        <f t="shared" si="2"/>
        <v>0.29757933333333331</v>
      </c>
      <c r="U16" s="131">
        <v>1440</v>
      </c>
      <c r="V16" s="131" t="s">
        <v>240</v>
      </c>
      <c r="W16" s="131">
        <v>20</v>
      </c>
      <c r="X16" s="131" t="s">
        <v>313</v>
      </c>
      <c r="Y16" s="136" t="s">
        <v>314</v>
      </c>
      <c r="Z16" s="136"/>
      <c r="AA16" s="136"/>
    </row>
    <row r="17" spans="1:28">
      <c r="A17" s="118">
        <v>13</v>
      </c>
      <c r="B17" s="162" t="str">
        <f t="shared" si="4"/>
        <v xml:space="preserve"> x  x        </v>
      </c>
      <c r="C17" s="119"/>
      <c r="D17" s="119"/>
      <c r="E17" s="57"/>
      <c r="F17" s="123"/>
      <c r="G17" s="58" t="str">
        <f t="shared" ref="G17:G31" si="8">+IF(ISBLANK(C17)," ",D17*E17*F17)</f>
        <v xml:space="preserve"> </v>
      </c>
      <c r="H17" s="116" t="str">
        <f t="shared" ref="H17:H31" si="9">IF(ISBLANK(C17)," ",+G17/1000000)</f>
        <v xml:space="preserve"> </v>
      </c>
      <c r="I17" s="117" t="str">
        <f t="shared" ref="I17:I31" si="10">IF(ISBLANK(C17)," ",G17/1000)</f>
        <v xml:space="preserve"> </v>
      </c>
      <c r="J17" s="164"/>
      <c r="L17" s="130" t="s">
        <v>280</v>
      </c>
      <c r="M17" s="131">
        <v>30</v>
      </c>
      <c r="N17" s="131">
        <v>20</v>
      </c>
      <c r="O17" s="131">
        <v>20</v>
      </c>
      <c r="P17" s="132">
        <f t="shared" si="0"/>
        <v>12000</v>
      </c>
      <c r="Q17" s="133">
        <f t="shared" si="1"/>
        <v>1.2E-2</v>
      </c>
      <c r="R17" s="133">
        <f t="shared" si="3"/>
        <v>12</v>
      </c>
      <c r="S17" s="134">
        <v>2</v>
      </c>
      <c r="T17" s="133">
        <f t="shared" si="2"/>
        <v>0.32266666666666666</v>
      </c>
      <c r="U17" s="131">
        <v>900</v>
      </c>
      <c r="V17" s="131" t="s">
        <v>240</v>
      </c>
      <c r="W17" s="131">
        <v>20</v>
      </c>
      <c r="X17" s="131" t="s">
        <v>265</v>
      </c>
      <c r="Y17" s="131" t="s">
        <v>266</v>
      </c>
      <c r="Z17" s="131" t="s">
        <v>267</v>
      </c>
      <c r="AA17" s="131" t="s">
        <v>268</v>
      </c>
    </row>
    <row r="18" spans="1:28">
      <c r="A18" s="118">
        <v>14</v>
      </c>
      <c r="B18" s="162" t="str">
        <f t="shared" si="4"/>
        <v xml:space="preserve"> x  x        </v>
      </c>
      <c r="C18" s="119"/>
      <c r="D18" s="119"/>
      <c r="E18" s="57"/>
      <c r="F18" s="123"/>
      <c r="G18" s="58" t="str">
        <f t="shared" si="8"/>
        <v xml:space="preserve"> </v>
      </c>
      <c r="H18" s="116" t="str">
        <f t="shared" si="9"/>
        <v xml:space="preserve"> </v>
      </c>
      <c r="I18" s="117" t="str">
        <f t="shared" si="10"/>
        <v xml:space="preserve"> </v>
      </c>
      <c r="J18" s="164"/>
      <c r="L18" s="118" t="s">
        <v>323</v>
      </c>
      <c r="M18" s="131">
        <v>35</v>
      </c>
      <c r="N18" s="131">
        <v>27</v>
      </c>
      <c r="O18" s="131">
        <v>14</v>
      </c>
      <c r="P18" s="132">
        <f t="shared" si="0"/>
        <v>13230</v>
      </c>
      <c r="Q18" s="133">
        <f t="shared" si="1"/>
        <v>1.323E-2</v>
      </c>
      <c r="R18" s="133">
        <f t="shared" si="3"/>
        <v>13.23</v>
      </c>
      <c r="S18" s="134">
        <v>2</v>
      </c>
      <c r="T18" s="133">
        <f t="shared" si="2"/>
        <v>0.35574</v>
      </c>
      <c r="U18" s="131">
        <v>600</v>
      </c>
      <c r="V18" s="131" t="s">
        <v>240</v>
      </c>
      <c r="W18" s="131">
        <v>20</v>
      </c>
      <c r="X18" s="131" t="s">
        <v>324</v>
      </c>
      <c r="Y18" s="131" t="s">
        <v>289</v>
      </c>
      <c r="Z18" s="131" t="s">
        <v>290</v>
      </c>
      <c r="AA18" s="131" t="s">
        <v>325</v>
      </c>
    </row>
    <row r="19" spans="1:28">
      <c r="A19" s="118">
        <v>15</v>
      </c>
      <c r="B19" s="162" t="str">
        <f t="shared" si="4"/>
        <v xml:space="preserve"> x  x        </v>
      </c>
      <c r="C19" s="119"/>
      <c r="D19" s="119"/>
      <c r="E19" s="57"/>
      <c r="F19" s="123"/>
      <c r="G19" s="58" t="str">
        <f t="shared" si="8"/>
        <v xml:space="preserve"> </v>
      </c>
      <c r="H19" s="116" t="str">
        <f t="shared" si="9"/>
        <v xml:space="preserve"> </v>
      </c>
      <c r="I19" s="117" t="str">
        <f t="shared" si="10"/>
        <v xml:space="preserve"> </v>
      </c>
      <c r="J19" s="164"/>
      <c r="L19" s="139" t="s">
        <v>286</v>
      </c>
      <c r="M19" s="140">
        <v>30</v>
      </c>
      <c r="N19" s="140">
        <v>30</v>
      </c>
      <c r="O19" s="140">
        <v>15</v>
      </c>
      <c r="P19" s="141">
        <f t="shared" si="0"/>
        <v>13500</v>
      </c>
      <c r="Q19" s="142">
        <f t="shared" si="1"/>
        <v>1.35E-2</v>
      </c>
      <c r="R19" s="142">
        <f t="shared" si="3"/>
        <v>13.5</v>
      </c>
      <c r="S19" s="143">
        <v>2</v>
      </c>
      <c r="T19" s="142">
        <f t="shared" si="2"/>
        <v>0.36299999999999999</v>
      </c>
      <c r="U19" s="140">
        <v>600</v>
      </c>
      <c r="V19" s="140" t="s">
        <v>240</v>
      </c>
      <c r="W19" s="140">
        <v>20</v>
      </c>
      <c r="X19" s="140" t="s">
        <v>287</v>
      </c>
      <c r="Y19" s="140" t="s">
        <v>288</v>
      </c>
      <c r="Z19" s="140" t="s">
        <v>289</v>
      </c>
      <c r="AA19" s="140" t="s">
        <v>290</v>
      </c>
    </row>
    <row r="20" spans="1:28">
      <c r="A20" s="118">
        <v>16</v>
      </c>
      <c r="B20" s="162" t="str">
        <f t="shared" si="4"/>
        <v xml:space="preserve"> x  x        </v>
      </c>
      <c r="C20" s="119"/>
      <c r="D20" s="119"/>
      <c r="E20" s="57"/>
      <c r="F20" s="123"/>
      <c r="G20" s="58" t="str">
        <f t="shared" si="8"/>
        <v xml:space="preserve"> </v>
      </c>
      <c r="H20" s="116" t="str">
        <f t="shared" si="9"/>
        <v xml:space="preserve"> </v>
      </c>
      <c r="I20" s="117" t="str">
        <f t="shared" si="10"/>
        <v xml:space="preserve"> </v>
      </c>
      <c r="J20" s="165"/>
      <c r="L20" s="139" t="s">
        <v>281</v>
      </c>
      <c r="M20" s="140">
        <v>30</v>
      </c>
      <c r="N20" s="140">
        <v>25</v>
      </c>
      <c r="O20" s="140">
        <v>20</v>
      </c>
      <c r="P20" s="141">
        <f t="shared" si="0"/>
        <v>15000</v>
      </c>
      <c r="Q20" s="142">
        <f t="shared" si="1"/>
        <v>1.4999999999999999E-2</v>
      </c>
      <c r="R20" s="142">
        <f t="shared" si="3"/>
        <v>15</v>
      </c>
      <c r="S20" s="143">
        <v>2</v>
      </c>
      <c r="T20" s="142">
        <f t="shared" si="2"/>
        <v>0.40333333333333332</v>
      </c>
      <c r="U20" s="140">
        <v>600</v>
      </c>
      <c r="V20" s="140" t="s">
        <v>240</v>
      </c>
      <c r="W20" s="140">
        <v>20</v>
      </c>
      <c r="X20" s="140" t="s">
        <v>282</v>
      </c>
      <c r="Y20" s="140" t="s">
        <v>283</v>
      </c>
      <c r="Z20" s="140" t="s">
        <v>284</v>
      </c>
      <c r="AA20" s="140" t="s">
        <v>285</v>
      </c>
    </row>
    <row r="21" spans="1:28">
      <c r="A21" s="118">
        <v>17</v>
      </c>
      <c r="B21" s="162" t="str">
        <f t="shared" si="4"/>
        <v xml:space="preserve"> x  x        </v>
      </c>
      <c r="C21" s="119"/>
      <c r="D21" s="119"/>
      <c r="E21" s="57"/>
      <c r="F21" s="123"/>
      <c r="G21" s="58" t="str">
        <f t="shared" si="8"/>
        <v xml:space="preserve"> </v>
      </c>
      <c r="H21" s="116" t="str">
        <f t="shared" si="9"/>
        <v xml:space="preserve"> </v>
      </c>
      <c r="I21" s="117" t="str">
        <f t="shared" si="10"/>
        <v xml:space="preserve"> </v>
      </c>
      <c r="J21" s="165"/>
      <c r="L21" s="144" t="s">
        <v>321</v>
      </c>
      <c r="M21" s="145">
        <v>35</v>
      </c>
      <c r="N21" s="145">
        <v>26</v>
      </c>
      <c r="O21" s="145">
        <v>16.5</v>
      </c>
      <c r="P21" s="146">
        <f t="shared" si="0"/>
        <v>15015</v>
      </c>
      <c r="Q21" s="147">
        <f t="shared" si="1"/>
        <v>1.5015000000000001E-2</v>
      </c>
      <c r="R21" s="147">
        <f t="shared" si="3"/>
        <v>15.015000000000001</v>
      </c>
      <c r="S21" s="148">
        <v>2</v>
      </c>
      <c r="T21" s="147">
        <f t="shared" si="2"/>
        <v>0.40373666666666663</v>
      </c>
      <c r="U21" s="145">
        <v>600</v>
      </c>
      <c r="V21" s="145" t="s">
        <v>240</v>
      </c>
      <c r="W21" s="145">
        <v>20</v>
      </c>
      <c r="X21" s="145" t="s">
        <v>311</v>
      </c>
      <c r="Y21" s="145" t="s">
        <v>322</v>
      </c>
      <c r="Z21" s="145" t="s">
        <v>295</v>
      </c>
      <c r="AA21" s="145" t="s">
        <v>276</v>
      </c>
    </row>
    <row r="22" spans="1:28">
      <c r="A22" s="118">
        <v>18</v>
      </c>
      <c r="B22" s="162" t="str">
        <f t="shared" si="4"/>
        <v xml:space="preserve"> x  x        </v>
      </c>
      <c r="C22" s="119"/>
      <c r="D22" s="119"/>
      <c r="E22" s="57"/>
      <c r="F22" s="123"/>
      <c r="G22" s="58" t="str">
        <f t="shared" si="8"/>
        <v xml:space="preserve"> </v>
      </c>
      <c r="H22" s="116" t="str">
        <f t="shared" si="9"/>
        <v xml:space="preserve"> </v>
      </c>
      <c r="I22" s="117" t="str">
        <f t="shared" si="10"/>
        <v xml:space="preserve"> </v>
      </c>
      <c r="J22" s="165"/>
      <c r="L22" s="149" t="s">
        <v>315</v>
      </c>
      <c r="M22" s="145">
        <v>35</v>
      </c>
      <c r="N22" s="145">
        <v>22</v>
      </c>
      <c r="O22" s="145">
        <v>20</v>
      </c>
      <c r="P22" s="146">
        <f t="shared" si="0"/>
        <v>15400</v>
      </c>
      <c r="Q22" s="147">
        <f t="shared" si="1"/>
        <v>1.54E-2</v>
      </c>
      <c r="R22" s="147">
        <f t="shared" si="3"/>
        <v>15.4</v>
      </c>
      <c r="S22" s="148">
        <v>2</v>
      </c>
      <c r="T22" s="147">
        <f t="shared" si="2"/>
        <v>0.41408888888888884</v>
      </c>
      <c r="U22" s="145">
        <v>900</v>
      </c>
      <c r="V22" s="145" t="s">
        <v>240</v>
      </c>
      <c r="W22" s="145">
        <v>20</v>
      </c>
      <c r="X22" s="145" t="s">
        <v>295</v>
      </c>
      <c r="Y22" s="150" t="s">
        <v>316</v>
      </c>
      <c r="Z22" s="150"/>
      <c r="AA22" s="150"/>
    </row>
    <row r="23" spans="1:28">
      <c r="A23" s="118">
        <v>19</v>
      </c>
      <c r="B23" s="162" t="str">
        <f t="shared" si="4"/>
        <v xml:space="preserve"> x  x        </v>
      </c>
      <c r="C23" s="119"/>
      <c r="D23" s="119"/>
      <c r="E23" s="57"/>
      <c r="F23" s="123"/>
      <c r="G23" s="58" t="str">
        <f t="shared" si="8"/>
        <v xml:space="preserve"> </v>
      </c>
      <c r="H23" s="116" t="str">
        <f t="shared" si="9"/>
        <v xml:space="preserve"> </v>
      </c>
      <c r="I23" s="117" t="str">
        <f t="shared" si="10"/>
        <v xml:space="preserve"> </v>
      </c>
      <c r="J23" s="165"/>
      <c r="L23" s="149" t="s">
        <v>339</v>
      </c>
      <c r="M23" s="145">
        <v>36</v>
      </c>
      <c r="N23" s="145">
        <v>24</v>
      </c>
      <c r="O23" s="145">
        <v>18</v>
      </c>
      <c r="P23" s="146">
        <f t="shared" si="0"/>
        <v>15552</v>
      </c>
      <c r="Q23" s="147">
        <f t="shared" si="1"/>
        <v>1.5552E-2</v>
      </c>
      <c r="R23" s="147">
        <f t="shared" si="3"/>
        <v>15.552</v>
      </c>
      <c r="S23" s="148">
        <v>2</v>
      </c>
      <c r="T23" s="147">
        <f t="shared" si="2"/>
        <v>0.41817599999999999</v>
      </c>
      <c r="U23" s="145">
        <v>600</v>
      </c>
      <c r="V23" s="145" t="s">
        <v>240</v>
      </c>
      <c r="W23" s="145">
        <v>20</v>
      </c>
      <c r="X23" s="145" t="s">
        <v>324</v>
      </c>
      <c r="Y23" s="145" t="s">
        <v>289</v>
      </c>
      <c r="Z23" s="145" t="s">
        <v>290</v>
      </c>
      <c r="AA23" s="145" t="s">
        <v>325</v>
      </c>
    </row>
    <row r="24" spans="1:28">
      <c r="A24" s="118">
        <v>20</v>
      </c>
      <c r="B24" s="162" t="str">
        <f t="shared" si="4"/>
        <v xml:space="preserve"> x  x        </v>
      </c>
      <c r="C24" s="119"/>
      <c r="D24" s="119"/>
      <c r="E24" s="57"/>
      <c r="F24" s="123"/>
      <c r="G24" s="58" t="str">
        <f t="shared" si="8"/>
        <v xml:space="preserve"> </v>
      </c>
      <c r="H24" s="116" t="str">
        <f t="shared" si="9"/>
        <v xml:space="preserve"> </v>
      </c>
      <c r="I24" s="117" t="str">
        <f t="shared" si="10"/>
        <v xml:space="preserve"> </v>
      </c>
      <c r="J24" s="165"/>
      <c r="L24" s="149" t="s">
        <v>274</v>
      </c>
      <c r="M24" s="145">
        <v>25</v>
      </c>
      <c r="N24" s="145">
        <v>25</v>
      </c>
      <c r="O24" s="145">
        <v>25</v>
      </c>
      <c r="P24" s="146">
        <f t="shared" si="0"/>
        <v>15625</v>
      </c>
      <c r="Q24" s="147">
        <f t="shared" si="1"/>
        <v>1.5625E-2</v>
      </c>
      <c r="R24" s="147">
        <f t="shared" si="3"/>
        <v>15.625</v>
      </c>
      <c r="S24" s="148">
        <v>2</v>
      </c>
      <c r="T24" s="147">
        <f t="shared" si="2"/>
        <v>0.42013888888888884</v>
      </c>
      <c r="U24" s="145">
        <v>900</v>
      </c>
      <c r="V24" s="145" t="s">
        <v>240</v>
      </c>
      <c r="W24" s="145">
        <v>20</v>
      </c>
      <c r="X24" s="145" t="s">
        <v>275</v>
      </c>
      <c r="Y24" s="145" t="s">
        <v>276</v>
      </c>
      <c r="Z24" s="145" t="s">
        <v>277</v>
      </c>
      <c r="AA24" s="145" t="s">
        <v>278</v>
      </c>
      <c r="AB24" s="135"/>
    </row>
    <row r="25" spans="1:28">
      <c r="A25" s="118">
        <v>21</v>
      </c>
      <c r="B25" s="162" t="str">
        <f t="shared" si="4"/>
        <v xml:space="preserve"> x  x        </v>
      </c>
      <c r="C25" s="119"/>
      <c r="D25" s="119"/>
      <c r="E25" s="57"/>
      <c r="F25" s="123"/>
      <c r="G25" s="58" t="str">
        <f t="shared" si="8"/>
        <v xml:space="preserve"> </v>
      </c>
      <c r="H25" s="116" t="str">
        <f t="shared" si="9"/>
        <v xml:space="preserve"> </v>
      </c>
      <c r="I25" s="117" t="str">
        <f t="shared" si="10"/>
        <v xml:space="preserve"> </v>
      </c>
      <c r="J25" s="165"/>
      <c r="L25" s="149" t="s">
        <v>304</v>
      </c>
      <c r="M25" s="145">
        <v>31</v>
      </c>
      <c r="N25" s="145">
        <v>22</v>
      </c>
      <c r="O25" s="145">
        <v>25</v>
      </c>
      <c r="P25" s="146">
        <f t="shared" si="0"/>
        <v>17050</v>
      </c>
      <c r="Q25" s="147">
        <f t="shared" si="1"/>
        <v>1.7049999999999999E-2</v>
      </c>
      <c r="R25" s="147">
        <f t="shared" si="3"/>
        <v>17.05</v>
      </c>
      <c r="S25" s="148">
        <v>2</v>
      </c>
      <c r="T25" s="147">
        <f t="shared" si="2"/>
        <v>0.45845555555555551</v>
      </c>
      <c r="U25" s="145">
        <v>900</v>
      </c>
      <c r="V25" s="145" t="s">
        <v>240</v>
      </c>
      <c r="W25" s="145">
        <v>20</v>
      </c>
      <c r="X25" s="145" t="s">
        <v>305</v>
      </c>
      <c r="Y25" s="145" t="s">
        <v>306</v>
      </c>
      <c r="Z25" s="145" t="s">
        <v>275</v>
      </c>
      <c r="AA25" s="145" t="s">
        <v>307</v>
      </c>
      <c r="AB25" s="135"/>
    </row>
    <row r="26" spans="1:28">
      <c r="A26" s="118">
        <v>22</v>
      </c>
      <c r="B26" s="162" t="str">
        <f t="shared" si="4"/>
        <v xml:space="preserve"> x  x        </v>
      </c>
      <c r="C26" s="119"/>
      <c r="D26" s="119"/>
      <c r="E26" s="57"/>
      <c r="F26" s="123"/>
      <c r="G26" s="58" t="str">
        <f t="shared" si="8"/>
        <v xml:space="preserve"> </v>
      </c>
      <c r="H26" s="116" t="str">
        <f t="shared" si="9"/>
        <v xml:space="preserve"> </v>
      </c>
      <c r="I26" s="117" t="str">
        <f t="shared" si="10"/>
        <v xml:space="preserve"> </v>
      </c>
      <c r="J26" s="165"/>
      <c r="L26" s="139" t="s">
        <v>294</v>
      </c>
      <c r="M26" s="140">
        <v>30</v>
      </c>
      <c r="N26" s="140">
        <v>30</v>
      </c>
      <c r="O26" s="140">
        <v>20</v>
      </c>
      <c r="P26" s="141">
        <f t="shared" si="0"/>
        <v>18000</v>
      </c>
      <c r="Q26" s="142">
        <f t="shared" si="1"/>
        <v>1.7999999999999999E-2</v>
      </c>
      <c r="R26" s="142">
        <f t="shared" si="3"/>
        <v>18</v>
      </c>
      <c r="S26" s="143">
        <v>2</v>
      </c>
      <c r="T26" s="142">
        <f t="shared" si="2"/>
        <v>0.48399999999999999</v>
      </c>
      <c r="U26" s="140">
        <v>600</v>
      </c>
      <c r="V26" s="140" t="s">
        <v>240</v>
      </c>
      <c r="W26" s="140">
        <v>10</v>
      </c>
      <c r="X26" s="140" t="s">
        <v>295</v>
      </c>
      <c r="Y26" s="140" t="s">
        <v>296</v>
      </c>
      <c r="Z26" s="140" t="s">
        <v>297</v>
      </c>
      <c r="AA26" s="140" t="s">
        <v>298</v>
      </c>
      <c r="AB26" s="135"/>
    </row>
    <row r="27" spans="1:28">
      <c r="A27" s="118">
        <v>23</v>
      </c>
      <c r="B27" s="162" t="str">
        <f t="shared" si="4"/>
        <v xml:space="preserve"> x  x        </v>
      </c>
      <c r="C27" s="119"/>
      <c r="D27" s="119"/>
      <c r="E27" s="57"/>
      <c r="F27" s="123"/>
      <c r="G27" s="58" t="str">
        <f t="shared" si="8"/>
        <v xml:space="preserve"> </v>
      </c>
      <c r="H27" s="116" t="str">
        <f t="shared" si="9"/>
        <v xml:space="preserve"> </v>
      </c>
      <c r="I27" s="117" t="str">
        <f t="shared" si="10"/>
        <v xml:space="preserve"> </v>
      </c>
      <c r="J27" s="165"/>
      <c r="L27" s="144" t="s">
        <v>318</v>
      </c>
      <c r="M27" s="145">
        <v>35</v>
      </c>
      <c r="N27" s="145">
        <v>22</v>
      </c>
      <c r="O27" s="145">
        <v>25</v>
      </c>
      <c r="P27" s="146">
        <f t="shared" si="0"/>
        <v>19250</v>
      </c>
      <c r="Q27" s="147">
        <f t="shared" si="1"/>
        <v>1.925E-2</v>
      </c>
      <c r="R27" s="147">
        <f t="shared" si="3"/>
        <v>19.25</v>
      </c>
      <c r="S27" s="148">
        <v>2</v>
      </c>
      <c r="T27" s="147">
        <f t="shared" si="2"/>
        <v>0.51761111111111102</v>
      </c>
      <c r="U27" s="145">
        <v>600</v>
      </c>
      <c r="V27" s="145" t="s">
        <v>240</v>
      </c>
      <c r="W27" s="145">
        <v>20</v>
      </c>
      <c r="X27" s="145" t="s">
        <v>292</v>
      </c>
      <c r="Y27" s="145" t="s">
        <v>275</v>
      </c>
      <c r="Z27" s="145" t="s">
        <v>295</v>
      </c>
      <c r="AA27" s="145" t="s">
        <v>319</v>
      </c>
      <c r="AB27" s="135"/>
    </row>
    <row r="28" spans="1:28">
      <c r="A28" s="118">
        <v>24</v>
      </c>
      <c r="B28" s="162" t="str">
        <f t="shared" si="4"/>
        <v xml:space="preserve"> x  x        </v>
      </c>
      <c r="C28" s="119"/>
      <c r="D28" s="119"/>
      <c r="E28" s="57"/>
      <c r="F28" s="123"/>
      <c r="G28" s="58" t="str">
        <f t="shared" si="8"/>
        <v xml:space="preserve"> </v>
      </c>
      <c r="H28" s="116" t="str">
        <f t="shared" si="9"/>
        <v xml:space="preserve"> </v>
      </c>
      <c r="I28" s="117" t="str">
        <f t="shared" si="10"/>
        <v xml:space="preserve"> </v>
      </c>
      <c r="J28" s="165"/>
      <c r="L28" s="149" t="s">
        <v>308</v>
      </c>
      <c r="M28" s="145">
        <v>31</v>
      </c>
      <c r="N28" s="145">
        <v>22</v>
      </c>
      <c r="O28" s="145">
        <v>30</v>
      </c>
      <c r="P28" s="146">
        <f t="shared" si="0"/>
        <v>20460</v>
      </c>
      <c r="Q28" s="147">
        <f t="shared" si="1"/>
        <v>2.0459999999999999E-2</v>
      </c>
      <c r="R28" s="147">
        <f t="shared" si="3"/>
        <v>20.46</v>
      </c>
      <c r="S28" s="148">
        <v>2</v>
      </c>
      <c r="T28" s="147">
        <f t="shared" si="2"/>
        <v>0.55014666666666667</v>
      </c>
      <c r="U28" s="145">
        <v>600</v>
      </c>
      <c r="V28" s="145" t="s">
        <v>240</v>
      </c>
      <c r="W28" s="145">
        <v>20</v>
      </c>
      <c r="X28" s="145" t="s">
        <v>309</v>
      </c>
      <c r="Y28" s="145" t="s">
        <v>310</v>
      </c>
      <c r="Z28" s="145" t="s">
        <v>311</v>
      </c>
      <c r="AA28" s="145" t="s">
        <v>306</v>
      </c>
      <c r="AB28" s="135"/>
    </row>
    <row r="29" spans="1:28">
      <c r="A29" s="118">
        <v>25</v>
      </c>
      <c r="B29" s="162" t="str">
        <f t="shared" si="4"/>
        <v xml:space="preserve"> x  x        </v>
      </c>
      <c r="C29" s="119"/>
      <c r="D29" s="119"/>
      <c r="E29" s="57"/>
      <c r="F29" s="123"/>
      <c r="G29" s="58" t="str">
        <f t="shared" si="8"/>
        <v xml:space="preserve"> </v>
      </c>
      <c r="H29" s="116" t="str">
        <f t="shared" si="9"/>
        <v xml:space="preserve"> </v>
      </c>
      <c r="I29" s="117" t="str">
        <f t="shared" si="10"/>
        <v xml:space="preserve"> </v>
      </c>
      <c r="J29" s="165"/>
      <c r="L29" s="130" t="s">
        <v>320</v>
      </c>
      <c r="M29" s="131">
        <v>35</v>
      </c>
      <c r="N29" s="131">
        <v>23</v>
      </c>
      <c r="O29" s="131">
        <v>26</v>
      </c>
      <c r="P29" s="132">
        <f t="shared" si="0"/>
        <v>20930</v>
      </c>
      <c r="Q29" s="133">
        <f t="shared" si="1"/>
        <v>2.0930000000000001E-2</v>
      </c>
      <c r="R29" s="133">
        <f t="shared" si="3"/>
        <v>20.93</v>
      </c>
      <c r="S29" s="134">
        <v>2</v>
      </c>
      <c r="T29" s="133">
        <f t="shared" si="2"/>
        <v>0.56278444444444442</v>
      </c>
      <c r="U29" s="131">
        <v>720</v>
      </c>
      <c r="V29" s="131" t="s">
        <v>240</v>
      </c>
      <c r="W29" s="131">
        <v>20</v>
      </c>
      <c r="X29" s="131" t="s">
        <v>292</v>
      </c>
      <c r="Y29" s="131" t="s">
        <v>275</v>
      </c>
      <c r="Z29" s="131" t="s">
        <v>295</v>
      </c>
      <c r="AA29" s="131" t="s">
        <v>319</v>
      </c>
      <c r="AB29" s="135"/>
    </row>
    <row r="30" spans="1:28">
      <c r="A30" s="118">
        <v>26</v>
      </c>
      <c r="B30" s="162" t="str">
        <f t="shared" si="4"/>
        <v xml:space="preserve"> x  x        </v>
      </c>
      <c r="C30" s="119"/>
      <c r="D30" s="119"/>
      <c r="E30" s="57"/>
      <c r="F30" s="123"/>
      <c r="G30" s="58" t="str">
        <f t="shared" si="8"/>
        <v xml:space="preserve"> </v>
      </c>
      <c r="H30" s="116" t="str">
        <f t="shared" si="9"/>
        <v xml:space="preserve"> </v>
      </c>
      <c r="I30" s="117" t="str">
        <f t="shared" si="10"/>
        <v xml:space="preserve"> </v>
      </c>
      <c r="J30" s="165"/>
      <c r="L30" s="118" t="s">
        <v>345</v>
      </c>
      <c r="M30" s="131">
        <v>40</v>
      </c>
      <c r="N30" s="131">
        <v>27</v>
      </c>
      <c r="O30" s="131">
        <v>20</v>
      </c>
      <c r="P30" s="132">
        <f t="shared" si="0"/>
        <v>21600</v>
      </c>
      <c r="Q30" s="133">
        <f t="shared" si="1"/>
        <v>2.1600000000000001E-2</v>
      </c>
      <c r="R30" s="133">
        <f t="shared" si="3"/>
        <v>21.6</v>
      </c>
      <c r="S30" s="134">
        <v>2</v>
      </c>
      <c r="T30" s="133">
        <f t="shared" si="2"/>
        <v>0.58079999999999998</v>
      </c>
      <c r="U30" s="131">
        <v>600</v>
      </c>
      <c r="V30" s="131" t="s">
        <v>240</v>
      </c>
      <c r="W30" s="131">
        <v>20</v>
      </c>
      <c r="X30" s="131" t="s">
        <v>330</v>
      </c>
      <c r="Y30" s="131" t="s">
        <v>287</v>
      </c>
      <c r="Z30" s="131" t="s">
        <v>324</v>
      </c>
      <c r="AA30" s="131" t="s">
        <v>346</v>
      </c>
      <c r="AB30" s="135"/>
    </row>
    <row r="31" spans="1:28">
      <c r="A31" s="118">
        <v>27</v>
      </c>
      <c r="B31" s="162" t="str">
        <f t="shared" si="4"/>
        <v xml:space="preserve"> x  x        </v>
      </c>
      <c r="C31" s="119"/>
      <c r="D31" s="119"/>
      <c r="E31" s="57"/>
      <c r="F31" s="123"/>
      <c r="G31" s="58" t="str">
        <f t="shared" si="8"/>
        <v xml:space="preserve"> </v>
      </c>
      <c r="H31" s="116" t="str">
        <f t="shared" si="9"/>
        <v xml:space="preserve"> </v>
      </c>
      <c r="I31" s="117" t="str">
        <f t="shared" si="10"/>
        <v xml:space="preserve"> </v>
      </c>
      <c r="J31" s="165"/>
      <c r="L31" s="118" t="s">
        <v>347</v>
      </c>
      <c r="M31" s="131">
        <v>40</v>
      </c>
      <c r="N31" s="131">
        <v>30</v>
      </c>
      <c r="O31" s="131">
        <v>20</v>
      </c>
      <c r="P31" s="132">
        <f t="shared" si="0"/>
        <v>24000</v>
      </c>
      <c r="Q31" s="133">
        <f t="shared" si="1"/>
        <v>2.4E-2</v>
      </c>
      <c r="R31" s="133">
        <f t="shared" si="3"/>
        <v>24</v>
      </c>
      <c r="S31" s="134">
        <v>2</v>
      </c>
      <c r="T31" s="133">
        <f t="shared" si="2"/>
        <v>0.64533333333333331</v>
      </c>
      <c r="U31" s="131">
        <v>300</v>
      </c>
      <c r="V31" s="131" t="s">
        <v>240</v>
      </c>
      <c r="W31" s="131">
        <v>20</v>
      </c>
      <c r="X31" s="131" t="s">
        <v>309</v>
      </c>
      <c r="Y31" s="131" t="s">
        <v>310</v>
      </c>
      <c r="Z31" s="131" t="s">
        <v>311</v>
      </c>
      <c r="AA31" s="131" t="s">
        <v>306</v>
      </c>
      <c r="AB31" s="135"/>
    </row>
    <row r="32" spans="1:28">
      <c r="A32" s="118">
        <v>28</v>
      </c>
      <c r="B32" s="162" t="str">
        <f t="shared" si="4"/>
        <v xml:space="preserve"> x  x        </v>
      </c>
      <c r="C32" s="119"/>
      <c r="D32" s="119"/>
      <c r="E32" s="57"/>
      <c r="F32" s="123"/>
      <c r="G32" s="58" t="str">
        <f t="shared" ref="G32:G61" si="11">+IF(ISBLANK(C32)," ",D32*E32*F32)</f>
        <v xml:space="preserve"> </v>
      </c>
      <c r="H32" s="116" t="str">
        <f t="shared" ref="H32:H61" si="12">IF(ISBLANK(C32)," ",+G32/1000000)</f>
        <v xml:space="preserve"> </v>
      </c>
      <c r="I32" s="117" t="str">
        <f t="shared" ref="I32:I61" si="13">IF(ISBLANK(C32)," ",G32/1000)</f>
        <v xml:space="preserve"> </v>
      </c>
      <c r="J32" s="165"/>
      <c r="L32" s="130" t="s">
        <v>326</v>
      </c>
      <c r="M32" s="131">
        <v>35</v>
      </c>
      <c r="N32" s="131">
        <v>35</v>
      </c>
      <c r="O32" s="131">
        <v>20</v>
      </c>
      <c r="P32" s="132">
        <f t="shared" si="0"/>
        <v>24500</v>
      </c>
      <c r="Q32" s="133">
        <f t="shared" si="1"/>
        <v>2.4500000000000001E-2</v>
      </c>
      <c r="R32" s="133">
        <f t="shared" si="3"/>
        <v>24.5</v>
      </c>
      <c r="S32" s="134">
        <v>2</v>
      </c>
      <c r="T32" s="133">
        <f t="shared" si="2"/>
        <v>0.65877777777777768</v>
      </c>
      <c r="U32" s="131">
        <v>300</v>
      </c>
      <c r="V32" s="131" t="s">
        <v>240</v>
      </c>
      <c r="W32" s="131">
        <v>20</v>
      </c>
      <c r="X32" s="131" t="s">
        <v>327</v>
      </c>
      <c r="Y32" s="131" t="s">
        <v>328</v>
      </c>
      <c r="Z32" s="131" t="s">
        <v>329</v>
      </c>
      <c r="AA32" s="131" t="s">
        <v>330</v>
      </c>
      <c r="AB32" s="135"/>
    </row>
    <row r="33" spans="1:28">
      <c r="A33" s="118">
        <v>29</v>
      </c>
      <c r="B33" s="162" t="str">
        <f t="shared" si="4"/>
        <v xml:space="preserve"> x  x        </v>
      </c>
      <c r="C33" s="119"/>
      <c r="D33" s="119"/>
      <c r="E33" s="57"/>
      <c r="F33" s="123"/>
      <c r="G33" s="58" t="str">
        <f t="shared" si="11"/>
        <v xml:space="preserve"> </v>
      </c>
      <c r="H33" s="116" t="str">
        <f t="shared" si="12"/>
        <v xml:space="preserve"> </v>
      </c>
      <c r="I33" s="117" t="str">
        <f t="shared" si="13"/>
        <v xml:space="preserve"> </v>
      </c>
      <c r="J33" s="165"/>
      <c r="L33" s="130" t="s">
        <v>291</v>
      </c>
      <c r="M33" s="131">
        <v>30</v>
      </c>
      <c r="N33" s="131">
        <v>30</v>
      </c>
      <c r="O33" s="131">
        <v>30</v>
      </c>
      <c r="P33" s="132">
        <f t="shared" si="0"/>
        <v>27000</v>
      </c>
      <c r="Q33" s="133">
        <f t="shared" si="1"/>
        <v>2.7E-2</v>
      </c>
      <c r="R33" s="133">
        <f t="shared" si="3"/>
        <v>27</v>
      </c>
      <c r="S33" s="134">
        <v>2</v>
      </c>
      <c r="T33" s="133">
        <f t="shared" si="2"/>
        <v>0.72599999999999998</v>
      </c>
      <c r="U33" s="131">
        <v>600</v>
      </c>
      <c r="V33" s="131" t="s">
        <v>240</v>
      </c>
      <c r="W33" s="131">
        <v>20</v>
      </c>
      <c r="X33" s="131" t="s">
        <v>292</v>
      </c>
      <c r="Y33" s="136" t="s">
        <v>293</v>
      </c>
      <c r="Z33" s="136"/>
      <c r="AA33" s="136"/>
      <c r="AB33" s="135"/>
    </row>
    <row r="34" spans="1:28">
      <c r="A34" s="118">
        <v>30</v>
      </c>
      <c r="B34" s="162" t="str">
        <f t="shared" si="4"/>
        <v xml:space="preserve"> x  x        </v>
      </c>
      <c r="C34" s="119"/>
      <c r="D34" s="119"/>
      <c r="E34" s="57"/>
      <c r="F34" s="123"/>
      <c r="G34" s="58" t="str">
        <f t="shared" si="11"/>
        <v xml:space="preserve"> </v>
      </c>
      <c r="H34" s="116" t="str">
        <f t="shared" si="12"/>
        <v xml:space="preserve"> </v>
      </c>
      <c r="I34" s="117" t="str">
        <f t="shared" si="13"/>
        <v xml:space="preserve"> </v>
      </c>
      <c r="J34" s="165"/>
      <c r="L34" s="130" t="s">
        <v>27</v>
      </c>
      <c r="M34" s="151">
        <v>41</v>
      </c>
      <c r="N34" s="151">
        <v>31</v>
      </c>
      <c r="O34" s="151">
        <v>24</v>
      </c>
      <c r="P34" s="132">
        <f t="shared" si="0"/>
        <v>30504</v>
      </c>
      <c r="Q34" s="133">
        <f t="shared" si="1"/>
        <v>3.0504E-2</v>
      </c>
      <c r="R34" s="133">
        <f t="shared" si="3"/>
        <v>30.504000000000001</v>
      </c>
      <c r="S34" s="134">
        <v>3</v>
      </c>
      <c r="T34" s="133">
        <f>+P34*$AC$7</f>
        <v>1.3</v>
      </c>
      <c r="U34" s="151">
        <v>108</v>
      </c>
      <c r="V34" s="151" t="s">
        <v>22</v>
      </c>
      <c r="W34" s="151">
        <v>1</v>
      </c>
      <c r="X34" s="151" t="s">
        <v>28</v>
      </c>
      <c r="Y34" s="151" t="s">
        <v>29</v>
      </c>
      <c r="Z34" s="151" t="s">
        <v>30</v>
      </c>
      <c r="AA34" s="151" t="s">
        <v>31</v>
      </c>
    </row>
    <row r="35" spans="1:28">
      <c r="A35" s="118">
        <v>31</v>
      </c>
      <c r="B35" s="162" t="str">
        <f t="shared" si="4"/>
        <v xml:space="preserve"> x  x        </v>
      </c>
      <c r="C35" s="119"/>
      <c r="D35" s="119"/>
      <c r="E35" s="57"/>
      <c r="F35" s="123"/>
      <c r="G35" s="58" t="str">
        <f t="shared" si="11"/>
        <v xml:space="preserve"> </v>
      </c>
      <c r="H35" s="116" t="str">
        <f t="shared" si="12"/>
        <v xml:space="preserve"> </v>
      </c>
      <c r="I35" s="117" t="str">
        <f t="shared" si="13"/>
        <v xml:space="preserve"> </v>
      </c>
      <c r="J35" s="165"/>
      <c r="L35" s="130" t="s">
        <v>331</v>
      </c>
      <c r="M35" s="131">
        <v>35</v>
      </c>
      <c r="N35" s="131">
        <v>35</v>
      </c>
      <c r="O35" s="131">
        <v>25</v>
      </c>
      <c r="P35" s="132">
        <f t="shared" si="0"/>
        <v>30625</v>
      </c>
      <c r="Q35" s="133">
        <f t="shared" si="1"/>
        <v>3.0624999999999999E-2</v>
      </c>
      <c r="R35" s="133">
        <f t="shared" si="3"/>
        <v>30.625</v>
      </c>
      <c r="S35" s="134">
        <v>2</v>
      </c>
      <c r="T35" s="133">
        <f>+P35*$AC$6</f>
        <v>0.82347222222222216</v>
      </c>
      <c r="U35" s="131">
        <v>300</v>
      </c>
      <c r="V35" s="131" t="s">
        <v>240</v>
      </c>
      <c r="W35" s="131">
        <v>20</v>
      </c>
      <c r="X35" s="131" t="s">
        <v>332</v>
      </c>
      <c r="Y35" s="131" t="s">
        <v>333</v>
      </c>
      <c r="Z35" s="131" t="s">
        <v>334</v>
      </c>
      <c r="AA35" s="131" t="s">
        <v>305</v>
      </c>
    </row>
    <row r="36" spans="1:28">
      <c r="A36" s="118">
        <v>32</v>
      </c>
      <c r="B36" s="162" t="str">
        <f t="shared" si="4"/>
        <v xml:space="preserve"> x  x        </v>
      </c>
      <c r="C36" s="119"/>
      <c r="D36" s="119"/>
      <c r="E36" s="57"/>
      <c r="F36" s="123"/>
      <c r="G36" s="58" t="str">
        <f t="shared" si="11"/>
        <v xml:space="preserve"> </v>
      </c>
      <c r="H36" s="116" t="str">
        <f t="shared" si="12"/>
        <v xml:space="preserve"> </v>
      </c>
      <c r="I36" s="117" t="str">
        <f t="shared" si="13"/>
        <v xml:space="preserve"> </v>
      </c>
      <c r="J36" s="165"/>
      <c r="L36" s="130" t="s">
        <v>32</v>
      </c>
      <c r="M36" s="151">
        <v>46</v>
      </c>
      <c r="N36" s="151">
        <v>26</v>
      </c>
      <c r="O36" s="151">
        <v>26</v>
      </c>
      <c r="P36" s="132">
        <f t="shared" ref="P36:P67" si="14">+M36*N36*O36</f>
        <v>31096</v>
      </c>
      <c r="Q36" s="133">
        <f t="shared" ref="Q36:Q70" si="15">(M36*N36*O36)/1000000</f>
        <v>3.1095999999999999E-2</v>
      </c>
      <c r="R36" s="133">
        <f t="shared" si="3"/>
        <v>31.096</v>
      </c>
      <c r="S36" s="134">
        <v>3</v>
      </c>
      <c r="T36" s="133">
        <f>+P36*$AC$7</f>
        <v>1.3252294781012326</v>
      </c>
      <c r="U36" s="151">
        <v>140</v>
      </c>
      <c r="V36" s="151" t="s">
        <v>22</v>
      </c>
      <c r="W36" s="151">
        <v>1</v>
      </c>
      <c r="X36" s="151" t="s">
        <v>33</v>
      </c>
      <c r="Y36" s="151" t="s">
        <v>34</v>
      </c>
      <c r="Z36" s="151" t="s">
        <v>35</v>
      </c>
      <c r="AA36" s="151" t="s">
        <v>36</v>
      </c>
    </row>
    <row r="37" spans="1:28">
      <c r="A37" s="118">
        <v>33</v>
      </c>
      <c r="B37" s="162" t="str">
        <f t="shared" si="4"/>
        <v xml:space="preserve"> x  x        </v>
      </c>
      <c r="C37" s="119"/>
      <c r="D37" s="119"/>
      <c r="E37" s="57"/>
      <c r="F37" s="123"/>
      <c r="G37" s="58" t="str">
        <f t="shared" si="11"/>
        <v xml:space="preserve"> </v>
      </c>
      <c r="H37" s="116" t="str">
        <f t="shared" si="12"/>
        <v xml:space="preserve"> </v>
      </c>
      <c r="I37" s="117" t="str">
        <f t="shared" si="13"/>
        <v xml:space="preserve"> </v>
      </c>
      <c r="J37" s="165"/>
      <c r="L37" s="118" t="s">
        <v>352</v>
      </c>
      <c r="M37" s="131">
        <v>40</v>
      </c>
      <c r="N37" s="131">
        <v>40</v>
      </c>
      <c r="O37" s="131">
        <v>20</v>
      </c>
      <c r="P37" s="132">
        <f t="shared" si="14"/>
        <v>32000</v>
      </c>
      <c r="Q37" s="133">
        <f t="shared" si="15"/>
        <v>3.2000000000000001E-2</v>
      </c>
      <c r="R37" s="133">
        <f t="shared" si="3"/>
        <v>32</v>
      </c>
      <c r="S37" s="134">
        <v>2</v>
      </c>
      <c r="T37" s="133">
        <f>+P37*$AC$6</f>
        <v>0.86044444444444435</v>
      </c>
      <c r="U37" s="131">
        <v>300</v>
      </c>
      <c r="V37" s="131" t="s">
        <v>240</v>
      </c>
      <c r="W37" s="131">
        <v>10</v>
      </c>
      <c r="X37" s="131" t="s">
        <v>353</v>
      </c>
      <c r="Y37" s="136" t="s">
        <v>354</v>
      </c>
      <c r="Z37" s="136"/>
      <c r="AA37" s="136"/>
    </row>
    <row r="38" spans="1:28">
      <c r="A38" s="118">
        <v>34</v>
      </c>
      <c r="B38" s="162" t="str">
        <f t="shared" si="4"/>
        <v xml:space="preserve"> x  x        </v>
      </c>
      <c r="C38" s="119"/>
      <c r="D38" s="119"/>
      <c r="E38" s="57"/>
      <c r="F38" s="123"/>
      <c r="G38" s="58" t="str">
        <f t="shared" si="11"/>
        <v xml:space="preserve"> </v>
      </c>
      <c r="H38" s="116" t="str">
        <f t="shared" si="12"/>
        <v xml:space="preserve"> </v>
      </c>
      <c r="I38" s="117" t="str">
        <f t="shared" si="13"/>
        <v xml:space="preserve"> </v>
      </c>
      <c r="J38" s="165"/>
      <c r="L38" s="118" t="s">
        <v>340</v>
      </c>
      <c r="M38" s="131">
        <v>37</v>
      </c>
      <c r="N38" s="131">
        <v>35</v>
      </c>
      <c r="O38" s="131">
        <v>25</v>
      </c>
      <c r="P38" s="132">
        <f t="shared" si="14"/>
        <v>32375</v>
      </c>
      <c r="Q38" s="133">
        <f t="shared" si="15"/>
        <v>3.2375000000000001E-2</v>
      </c>
      <c r="R38" s="133">
        <f t="shared" si="3"/>
        <v>32.375</v>
      </c>
      <c r="S38" s="134">
        <v>2</v>
      </c>
      <c r="T38" s="133">
        <f>+P38*$AC$6</f>
        <v>0.87052777777777768</v>
      </c>
      <c r="U38" s="131">
        <v>300</v>
      </c>
      <c r="V38" s="131" t="s">
        <v>240</v>
      </c>
      <c r="W38" s="131">
        <v>20</v>
      </c>
      <c r="X38" s="131" t="s">
        <v>341</v>
      </c>
      <c r="Y38" s="131" t="s">
        <v>342</v>
      </c>
      <c r="Z38" s="131" t="s">
        <v>343</v>
      </c>
      <c r="AA38" s="131" t="s">
        <v>344</v>
      </c>
    </row>
    <row r="39" spans="1:28">
      <c r="A39" s="118">
        <v>35</v>
      </c>
      <c r="B39" s="162" t="str">
        <f t="shared" si="4"/>
        <v xml:space="preserve"> x  x        </v>
      </c>
      <c r="C39" s="119"/>
      <c r="D39" s="119"/>
      <c r="E39" s="57"/>
      <c r="F39" s="123"/>
      <c r="G39" s="58" t="str">
        <f t="shared" si="11"/>
        <v xml:space="preserve"> </v>
      </c>
      <c r="H39" s="116" t="str">
        <f t="shared" si="12"/>
        <v xml:space="preserve"> </v>
      </c>
      <c r="I39" s="117" t="str">
        <f t="shared" si="13"/>
        <v xml:space="preserve"> </v>
      </c>
      <c r="J39" s="165"/>
      <c r="L39" s="118" t="s">
        <v>348</v>
      </c>
      <c r="M39" s="131">
        <v>40</v>
      </c>
      <c r="N39" s="131">
        <v>30</v>
      </c>
      <c r="O39" s="131">
        <v>30</v>
      </c>
      <c r="P39" s="132">
        <f t="shared" si="14"/>
        <v>36000</v>
      </c>
      <c r="Q39" s="133">
        <f t="shared" si="15"/>
        <v>3.5999999999999997E-2</v>
      </c>
      <c r="R39" s="133">
        <f t="shared" si="3"/>
        <v>36</v>
      </c>
      <c r="S39" s="134">
        <v>2</v>
      </c>
      <c r="T39" s="133">
        <f>+P39*$AC$6</f>
        <v>0.96799999999999997</v>
      </c>
      <c r="U39" s="131">
        <v>300</v>
      </c>
      <c r="V39" s="131" t="s">
        <v>240</v>
      </c>
      <c r="W39" s="131">
        <v>10</v>
      </c>
      <c r="X39" s="131" t="s">
        <v>349</v>
      </c>
      <c r="Y39" s="131" t="s">
        <v>309</v>
      </c>
      <c r="Z39" s="131" t="s">
        <v>350</v>
      </c>
      <c r="AA39" s="131" t="s">
        <v>351</v>
      </c>
    </row>
    <row r="40" spans="1:28">
      <c r="A40" s="118">
        <v>36</v>
      </c>
      <c r="B40" s="162" t="str">
        <f t="shared" si="4"/>
        <v xml:space="preserve"> x  x        </v>
      </c>
      <c r="C40" s="119"/>
      <c r="D40" s="119"/>
      <c r="E40" s="57"/>
      <c r="F40" s="123"/>
      <c r="G40" s="58" t="str">
        <f t="shared" si="11"/>
        <v xml:space="preserve"> </v>
      </c>
      <c r="H40" s="116" t="str">
        <f t="shared" si="12"/>
        <v xml:space="preserve"> </v>
      </c>
      <c r="I40" s="117" t="str">
        <f t="shared" si="13"/>
        <v xml:space="preserve"> </v>
      </c>
      <c r="J40" s="165"/>
      <c r="L40" s="130" t="s">
        <v>47</v>
      </c>
      <c r="M40" s="151">
        <v>50</v>
      </c>
      <c r="N40" s="151">
        <v>33</v>
      </c>
      <c r="O40" s="151">
        <v>25</v>
      </c>
      <c r="P40" s="132">
        <f t="shared" si="14"/>
        <v>41250</v>
      </c>
      <c r="Q40" s="133">
        <f t="shared" si="15"/>
        <v>4.1250000000000002E-2</v>
      </c>
      <c r="R40" s="133">
        <f t="shared" si="3"/>
        <v>41.25</v>
      </c>
      <c r="S40" s="134">
        <v>3</v>
      </c>
      <c r="T40" s="133">
        <f>+P40*$AC$7</f>
        <v>1.7579661683713612</v>
      </c>
      <c r="U40" s="151">
        <v>140</v>
      </c>
      <c r="V40" s="151" t="s">
        <v>22</v>
      </c>
      <c r="W40" s="151">
        <v>1</v>
      </c>
      <c r="X40" s="151" t="s">
        <v>48</v>
      </c>
      <c r="Y40" s="151" t="s">
        <v>49</v>
      </c>
      <c r="Z40" s="151" t="s">
        <v>50</v>
      </c>
      <c r="AA40" s="151" t="s">
        <v>51</v>
      </c>
    </row>
    <row r="41" spans="1:28">
      <c r="A41" s="118">
        <v>37</v>
      </c>
      <c r="B41" s="162" t="str">
        <f t="shared" si="4"/>
        <v xml:space="preserve"> x  x        </v>
      </c>
      <c r="C41" s="119"/>
      <c r="D41" s="119"/>
      <c r="E41" s="57"/>
      <c r="F41" s="123"/>
      <c r="G41" s="58" t="str">
        <f t="shared" si="11"/>
        <v xml:space="preserve"> </v>
      </c>
      <c r="H41" s="116" t="str">
        <f t="shared" si="12"/>
        <v xml:space="preserve"> </v>
      </c>
      <c r="I41" s="117" t="str">
        <f t="shared" si="13"/>
        <v xml:space="preserve"> </v>
      </c>
      <c r="J41" s="165"/>
      <c r="L41" s="130" t="s">
        <v>335</v>
      </c>
      <c r="M41" s="131">
        <v>35</v>
      </c>
      <c r="N41" s="131">
        <v>35</v>
      </c>
      <c r="O41" s="131">
        <v>35</v>
      </c>
      <c r="P41" s="132">
        <f t="shared" si="14"/>
        <v>42875</v>
      </c>
      <c r="Q41" s="133">
        <f t="shared" si="15"/>
        <v>4.2875000000000003E-2</v>
      </c>
      <c r="R41" s="133">
        <f t="shared" si="3"/>
        <v>42.875</v>
      </c>
      <c r="S41" s="134">
        <v>2</v>
      </c>
      <c r="T41" s="133">
        <f>+P41*$AC$6</f>
        <v>1.1528611111111111</v>
      </c>
      <c r="U41" s="131">
        <v>300</v>
      </c>
      <c r="V41" s="131" t="s">
        <v>240</v>
      </c>
      <c r="W41" s="131">
        <v>20</v>
      </c>
      <c r="X41" s="131" t="s">
        <v>336</v>
      </c>
      <c r="Y41" s="131" t="s">
        <v>329</v>
      </c>
      <c r="Z41" s="131" t="s">
        <v>337</v>
      </c>
      <c r="AA41" s="131" t="s">
        <v>338</v>
      </c>
    </row>
    <row r="42" spans="1:28">
      <c r="A42" s="118">
        <v>38</v>
      </c>
      <c r="B42" s="162" t="str">
        <f t="shared" si="4"/>
        <v xml:space="preserve"> x  x        </v>
      </c>
      <c r="C42" s="119"/>
      <c r="D42" s="119"/>
      <c r="E42" s="57"/>
      <c r="F42" s="123"/>
      <c r="G42" s="58" t="str">
        <f t="shared" si="11"/>
        <v xml:space="preserve"> </v>
      </c>
      <c r="H42" s="116" t="str">
        <f t="shared" si="12"/>
        <v xml:space="preserve"> </v>
      </c>
      <c r="I42" s="117" t="str">
        <f t="shared" si="13"/>
        <v xml:space="preserve"> </v>
      </c>
      <c r="J42" s="165"/>
      <c r="L42" s="130" t="s">
        <v>42</v>
      </c>
      <c r="M42" s="151">
        <v>48</v>
      </c>
      <c r="N42" s="151">
        <v>30</v>
      </c>
      <c r="O42" s="151">
        <v>33</v>
      </c>
      <c r="P42" s="132">
        <f t="shared" si="14"/>
        <v>47520</v>
      </c>
      <c r="Q42" s="133">
        <f t="shared" si="15"/>
        <v>4.752E-2</v>
      </c>
      <c r="R42" s="133">
        <f t="shared" si="3"/>
        <v>47.52</v>
      </c>
      <c r="S42" s="134">
        <v>3</v>
      </c>
      <c r="T42" s="133">
        <f>+P42*$AC$7</f>
        <v>2.0251770259638082</v>
      </c>
      <c r="U42" s="151">
        <v>108</v>
      </c>
      <c r="V42" s="151" t="s">
        <v>22</v>
      </c>
      <c r="W42" s="151">
        <v>1</v>
      </c>
      <c r="X42" s="151" t="s">
        <v>43</v>
      </c>
      <c r="Y42" s="151" t="s">
        <v>44</v>
      </c>
      <c r="Z42" s="151" t="s">
        <v>45</v>
      </c>
      <c r="AA42" s="151" t="s">
        <v>46</v>
      </c>
    </row>
    <row r="43" spans="1:28">
      <c r="A43" s="118">
        <v>39</v>
      </c>
      <c r="B43" s="162" t="str">
        <f t="shared" si="4"/>
        <v xml:space="preserve"> x  x        </v>
      </c>
      <c r="C43" s="119"/>
      <c r="D43" s="119"/>
      <c r="E43" s="57"/>
      <c r="F43" s="123"/>
      <c r="G43" s="58" t="str">
        <f t="shared" si="11"/>
        <v xml:space="preserve"> </v>
      </c>
      <c r="H43" s="116" t="str">
        <f t="shared" si="12"/>
        <v xml:space="preserve"> </v>
      </c>
      <c r="I43" s="117" t="str">
        <f t="shared" si="13"/>
        <v xml:space="preserve"> </v>
      </c>
      <c r="J43" s="165"/>
      <c r="L43" s="130" t="s">
        <v>75</v>
      </c>
      <c r="M43" s="151">
        <v>60</v>
      </c>
      <c r="N43" s="151">
        <v>31</v>
      </c>
      <c r="O43" s="151">
        <v>31</v>
      </c>
      <c r="P43" s="132">
        <f t="shared" si="14"/>
        <v>57660</v>
      </c>
      <c r="Q43" s="133">
        <f t="shared" si="15"/>
        <v>5.7660000000000003E-2</v>
      </c>
      <c r="R43" s="133">
        <f t="shared" si="3"/>
        <v>57.66</v>
      </c>
      <c r="S43" s="134">
        <v>3</v>
      </c>
      <c r="T43" s="133">
        <f>+P43*$AC$7</f>
        <v>2.4573170731707319</v>
      </c>
      <c r="U43" s="151">
        <v>70</v>
      </c>
      <c r="V43" s="151" t="s">
        <v>22</v>
      </c>
      <c r="W43" s="151">
        <v>1</v>
      </c>
      <c r="X43" s="151" t="s">
        <v>76</v>
      </c>
      <c r="Y43" s="151" t="s">
        <v>77</v>
      </c>
      <c r="Z43" s="151" t="s">
        <v>78</v>
      </c>
      <c r="AA43" s="151" t="s">
        <v>43</v>
      </c>
    </row>
    <row r="44" spans="1:28">
      <c r="A44" s="118">
        <v>40</v>
      </c>
      <c r="B44" s="162" t="str">
        <f t="shared" si="4"/>
        <v xml:space="preserve"> x  x        </v>
      </c>
      <c r="C44" s="119"/>
      <c r="D44" s="119"/>
      <c r="E44" s="57"/>
      <c r="F44" s="123"/>
      <c r="G44" s="58" t="str">
        <f t="shared" si="11"/>
        <v xml:space="preserve"> </v>
      </c>
      <c r="H44" s="116" t="str">
        <f t="shared" si="12"/>
        <v xml:space="preserve"> </v>
      </c>
      <c r="I44" s="117" t="str">
        <f t="shared" si="13"/>
        <v xml:space="preserve"> </v>
      </c>
      <c r="J44" s="165"/>
      <c r="L44" s="130" t="s">
        <v>37</v>
      </c>
      <c r="M44" s="151">
        <v>47</v>
      </c>
      <c r="N44" s="151">
        <v>37</v>
      </c>
      <c r="O44" s="151">
        <v>34</v>
      </c>
      <c r="P44" s="132">
        <f t="shared" si="14"/>
        <v>59126</v>
      </c>
      <c r="Q44" s="133">
        <f t="shared" si="15"/>
        <v>5.9125999999999998E-2</v>
      </c>
      <c r="R44" s="133">
        <f t="shared" si="3"/>
        <v>59.125999999999998</v>
      </c>
      <c r="S44" s="134">
        <v>3</v>
      </c>
      <c r="T44" s="133">
        <f>+P44*$AC$7</f>
        <v>2.5197941253606086</v>
      </c>
      <c r="U44" s="151">
        <v>54</v>
      </c>
      <c r="V44" s="151" t="s">
        <v>22</v>
      </c>
      <c r="W44" s="151">
        <v>1</v>
      </c>
      <c r="X44" s="151" t="s">
        <v>38</v>
      </c>
      <c r="Y44" s="151" t="s">
        <v>39</v>
      </c>
      <c r="Z44" s="151" t="s">
        <v>40</v>
      </c>
      <c r="AA44" s="151" t="s">
        <v>41</v>
      </c>
    </row>
    <row r="45" spans="1:28">
      <c r="A45" s="118">
        <v>41</v>
      </c>
      <c r="B45" s="162" t="str">
        <f t="shared" si="4"/>
        <v xml:space="preserve"> x  x        </v>
      </c>
      <c r="C45" s="119"/>
      <c r="D45" s="119"/>
      <c r="E45" s="57"/>
      <c r="F45" s="123"/>
      <c r="G45" s="58" t="str">
        <f t="shared" si="11"/>
        <v xml:space="preserve"> </v>
      </c>
      <c r="H45" s="116" t="str">
        <f t="shared" si="12"/>
        <v xml:space="preserve"> </v>
      </c>
      <c r="I45" s="117" t="str">
        <f t="shared" si="13"/>
        <v xml:space="preserve"> </v>
      </c>
      <c r="J45" s="165"/>
      <c r="L45" s="118" t="s">
        <v>355</v>
      </c>
      <c r="M45" s="131">
        <v>40</v>
      </c>
      <c r="N45" s="131">
        <v>40</v>
      </c>
      <c r="O45" s="131">
        <v>40</v>
      </c>
      <c r="P45" s="132">
        <f t="shared" si="14"/>
        <v>64000</v>
      </c>
      <c r="Q45" s="133">
        <f t="shared" si="15"/>
        <v>6.4000000000000001E-2</v>
      </c>
      <c r="R45" s="133">
        <f t="shared" si="3"/>
        <v>64</v>
      </c>
      <c r="S45" s="134">
        <v>2</v>
      </c>
      <c r="T45" s="133">
        <f>+P45*$AC$6</f>
        <v>1.7208888888888887</v>
      </c>
      <c r="U45" s="131">
        <v>150</v>
      </c>
      <c r="V45" s="131" t="s">
        <v>240</v>
      </c>
      <c r="W45" s="131">
        <v>20</v>
      </c>
      <c r="X45" s="131" t="s">
        <v>356</v>
      </c>
      <c r="Y45" s="131" t="s">
        <v>357</v>
      </c>
      <c r="Z45" s="131" t="s">
        <v>342</v>
      </c>
      <c r="AA45" s="131" t="s">
        <v>343</v>
      </c>
    </row>
    <row r="46" spans="1:28">
      <c r="A46" s="118">
        <v>42</v>
      </c>
      <c r="B46" s="162" t="str">
        <f t="shared" si="4"/>
        <v xml:space="preserve"> x  x        </v>
      </c>
      <c r="C46" s="119"/>
      <c r="D46" s="119"/>
      <c r="E46" s="57"/>
      <c r="F46" s="123"/>
      <c r="G46" s="58" t="str">
        <f t="shared" si="11"/>
        <v xml:space="preserve"> </v>
      </c>
      <c r="H46" s="116" t="str">
        <f t="shared" si="12"/>
        <v xml:space="preserve"> </v>
      </c>
      <c r="I46" s="117" t="str">
        <f t="shared" si="13"/>
        <v xml:space="preserve"> </v>
      </c>
      <c r="J46" s="165"/>
      <c r="L46" s="130" t="s">
        <v>21</v>
      </c>
      <c r="M46" s="151">
        <v>40</v>
      </c>
      <c r="N46" s="151">
        <v>40</v>
      </c>
      <c r="O46" s="151">
        <v>40</v>
      </c>
      <c r="P46" s="132">
        <f t="shared" si="14"/>
        <v>64000</v>
      </c>
      <c r="Q46" s="133">
        <f t="shared" si="15"/>
        <v>6.4000000000000001E-2</v>
      </c>
      <c r="R46" s="133">
        <f t="shared" si="3"/>
        <v>64</v>
      </c>
      <c r="S46" s="134">
        <v>3</v>
      </c>
      <c r="T46" s="133">
        <f t="shared" ref="T46:T70" si="16">+P46*$AC$7</f>
        <v>2.7275111460792028</v>
      </c>
      <c r="U46" s="151">
        <v>54</v>
      </c>
      <c r="V46" s="151" t="s">
        <v>22</v>
      </c>
      <c r="W46" s="151">
        <v>1</v>
      </c>
      <c r="X46" s="151" t="s">
        <v>23</v>
      </c>
      <c r="Y46" s="151" t="s">
        <v>24</v>
      </c>
      <c r="Z46" s="151" t="s">
        <v>25</v>
      </c>
      <c r="AA46" s="151" t="s">
        <v>26</v>
      </c>
    </row>
    <row r="47" spans="1:28">
      <c r="A47" s="118">
        <v>43</v>
      </c>
      <c r="B47" s="162" t="str">
        <f t="shared" si="4"/>
        <v xml:space="preserve"> x  x        </v>
      </c>
      <c r="C47" s="119"/>
      <c r="D47" s="119"/>
      <c r="E47" s="57"/>
      <c r="F47" s="123"/>
      <c r="G47" s="58" t="str">
        <f t="shared" si="11"/>
        <v xml:space="preserve"> </v>
      </c>
      <c r="H47" s="116" t="str">
        <f t="shared" si="12"/>
        <v xml:space="preserve"> </v>
      </c>
      <c r="I47" s="117" t="str">
        <f t="shared" si="13"/>
        <v xml:space="preserve"> </v>
      </c>
      <c r="J47" s="165"/>
      <c r="L47" s="130" t="s">
        <v>61</v>
      </c>
      <c r="M47" s="151">
        <v>54</v>
      </c>
      <c r="N47" s="151">
        <v>39</v>
      </c>
      <c r="O47" s="151">
        <v>36</v>
      </c>
      <c r="P47" s="132">
        <f t="shared" si="14"/>
        <v>75816</v>
      </c>
      <c r="Q47" s="133">
        <f t="shared" si="15"/>
        <v>7.5815999999999995E-2</v>
      </c>
      <c r="R47" s="133">
        <f t="shared" si="3"/>
        <v>75.816000000000003</v>
      </c>
      <c r="S47" s="134">
        <v>3</v>
      </c>
      <c r="T47" s="133">
        <f t="shared" si="16"/>
        <v>3.2310778914240754</v>
      </c>
      <c r="U47" s="151">
        <v>70</v>
      </c>
      <c r="V47" s="151" t="s">
        <v>22</v>
      </c>
      <c r="W47" s="151">
        <v>1</v>
      </c>
      <c r="X47" s="151" t="s">
        <v>62</v>
      </c>
      <c r="Y47" s="151" t="s">
        <v>63</v>
      </c>
      <c r="Z47" s="151" t="s">
        <v>64</v>
      </c>
      <c r="AA47" s="151" t="s">
        <v>38</v>
      </c>
    </row>
    <row r="48" spans="1:28">
      <c r="A48" s="118">
        <v>44</v>
      </c>
      <c r="B48" s="162" t="str">
        <f t="shared" si="4"/>
        <v xml:space="preserve"> x  x        </v>
      </c>
      <c r="C48" s="119"/>
      <c r="D48" s="119"/>
      <c r="E48" s="57"/>
      <c r="F48" s="123"/>
      <c r="G48" s="58" t="str">
        <f t="shared" si="11"/>
        <v xml:space="preserve"> </v>
      </c>
      <c r="H48" s="116" t="str">
        <f t="shared" si="12"/>
        <v xml:space="preserve"> </v>
      </c>
      <c r="I48" s="117" t="str">
        <f t="shared" si="13"/>
        <v xml:space="preserve"> </v>
      </c>
      <c r="J48" s="165"/>
      <c r="L48" s="130" t="s">
        <v>65</v>
      </c>
      <c r="M48" s="151">
        <v>57</v>
      </c>
      <c r="N48" s="151">
        <v>37</v>
      </c>
      <c r="O48" s="151">
        <v>36</v>
      </c>
      <c r="P48" s="132">
        <f t="shared" si="14"/>
        <v>75924</v>
      </c>
      <c r="Q48" s="133">
        <f t="shared" si="15"/>
        <v>7.5924000000000005E-2</v>
      </c>
      <c r="R48" s="133">
        <f t="shared" si="3"/>
        <v>75.924000000000007</v>
      </c>
      <c r="S48" s="134">
        <v>3</v>
      </c>
      <c r="T48" s="133">
        <f t="shared" si="16"/>
        <v>3.2356805664830843</v>
      </c>
      <c r="U48" s="151">
        <v>54</v>
      </c>
      <c r="V48" s="151" t="s">
        <v>22</v>
      </c>
      <c r="W48" s="151">
        <v>1</v>
      </c>
      <c r="X48" s="151" t="s">
        <v>66</v>
      </c>
      <c r="Y48" s="151" t="s">
        <v>67</v>
      </c>
      <c r="Z48" s="151" t="s">
        <v>68</v>
      </c>
      <c r="AA48" s="151" t="s">
        <v>69</v>
      </c>
    </row>
    <row r="49" spans="1:27">
      <c r="A49" s="118">
        <v>45</v>
      </c>
      <c r="B49" s="162" t="str">
        <f t="shared" si="4"/>
        <v xml:space="preserve"> x  x        </v>
      </c>
      <c r="C49" s="119"/>
      <c r="D49" s="119"/>
      <c r="E49" s="57"/>
      <c r="F49" s="123"/>
      <c r="G49" s="58" t="str">
        <f t="shared" si="11"/>
        <v xml:space="preserve"> </v>
      </c>
      <c r="H49" s="116" t="str">
        <f t="shared" si="12"/>
        <v xml:space="preserve"> </v>
      </c>
      <c r="I49" s="117" t="str">
        <f t="shared" si="13"/>
        <v xml:space="preserve"> </v>
      </c>
      <c r="J49" s="165"/>
      <c r="L49" s="130" t="s">
        <v>52</v>
      </c>
      <c r="M49" s="151">
        <v>50</v>
      </c>
      <c r="N49" s="151">
        <v>40</v>
      </c>
      <c r="O49" s="151">
        <v>40</v>
      </c>
      <c r="P49" s="132">
        <f t="shared" si="14"/>
        <v>80000</v>
      </c>
      <c r="Q49" s="133">
        <f t="shared" si="15"/>
        <v>0.08</v>
      </c>
      <c r="R49" s="133">
        <f t="shared" si="3"/>
        <v>80</v>
      </c>
      <c r="S49" s="134">
        <v>3</v>
      </c>
      <c r="T49" s="133">
        <f t="shared" si="16"/>
        <v>3.4093889325990032</v>
      </c>
      <c r="U49" s="151">
        <v>70</v>
      </c>
      <c r="V49" s="151" t="s">
        <v>22</v>
      </c>
      <c r="W49" s="151">
        <v>1</v>
      </c>
      <c r="X49" s="151" t="s">
        <v>53</v>
      </c>
      <c r="Y49" s="151" t="s">
        <v>54</v>
      </c>
      <c r="Z49" s="151" t="s">
        <v>44</v>
      </c>
      <c r="AA49" s="151" t="s">
        <v>55</v>
      </c>
    </row>
    <row r="50" spans="1:27">
      <c r="A50" s="118">
        <v>46</v>
      </c>
      <c r="B50" s="162" t="str">
        <f t="shared" si="4"/>
        <v xml:space="preserve"> x  x        </v>
      </c>
      <c r="C50" s="119"/>
      <c r="D50" s="119"/>
      <c r="E50" s="57"/>
      <c r="F50" s="123"/>
      <c r="G50" s="58" t="str">
        <f t="shared" si="11"/>
        <v xml:space="preserve"> </v>
      </c>
      <c r="H50" s="116" t="str">
        <f t="shared" si="12"/>
        <v xml:space="preserve"> </v>
      </c>
      <c r="I50" s="117" t="str">
        <f t="shared" si="13"/>
        <v xml:space="preserve"> </v>
      </c>
      <c r="J50" s="165"/>
      <c r="L50" s="130" t="s">
        <v>93</v>
      </c>
      <c r="M50" s="151">
        <v>70</v>
      </c>
      <c r="N50" s="151">
        <v>40</v>
      </c>
      <c r="O50" s="151">
        <v>32</v>
      </c>
      <c r="P50" s="132">
        <f t="shared" si="14"/>
        <v>89600</v>
      </c>
      <c r="Q50" s="133">
        <f t="shared" si="15"/>
        <v>8.9599999999999999E-2</v>
      </c>
      <c r="R50" s="133">
        <f t="shared" si="3"/>
        <v>89.6</v>
      </c>
      <c r="S50" s="134">
        <v>3</v>
      </c>
      <c r="T50" s="133">
        <f t="shared" si="16"/>
        <v>3.8185156045108837</v>
      </c>
      <c r="U50" s="151">
        <v>70</v>
      </c>
      <c r="V50" s="151" t="s">
        <v>22</v>
      </c>
      <c r="W50" s="151">
        <v>1</v>
      </c>
      <c r="X50" s="151" t="s">
        <v>94</v>
      </c>
      <c r="Y50" s="151" t="s">
        <v>95</v>
      </c>
      <c r="Z50" s="151" t="s">
        <v>96</v>
      </c>
      <c r="AA50" s="151" t="s">
        <v>97</v>
      </c>
    </row>
    <row r="51" spans="1:27">
      <c r="A51" s="118">
        <v>47</v>
      </c>
      <c r="B51" s="162" t="str">
        <f t="shared" si="4"/>
        <v xml:space="preserve"> x  x        </v>
      </c>
      <c r="C51" s="119"/>
      <c r="D51" s="119"/>
      <c r="E51" s="57"/>
      <c r="F51" s="123"/>
      <c r="G51" s="58" t="str">
        <f t="shared" si="11"/>
        <v xml:space="preserve"> </v>
      </c>
      <c r="H51" s="116" t="str">
        <f t="shared" si="12"/>
        <v xml:space="preserve"> </v>
      </c>
      <c r="I51" s="117" t="str">
        <f t="shared" si="13"/>
        <v xml:space="preserve"> </v>
      </c>
      <c r="J51" s="165"/>
      <c r="L51" s="130" t="s">
        <v>108</v>
      </c>
      <c r="M51" s="151">
        <v>77</v>
      </c>
      <c r="N51" s="151">
        <v>37</v>
      </c>
      <c r="O51" s="151">
        <v>37</v>
      </c>
      <c r="P51" s="132">
        <f t="shared" si="14"/>
        <v>105413</v>
      </c>
      <c r="Q51" s="133">
        <f t="shared" si="15"/>
        <v>0.10541300000000001</v>
      </c>
      <c r="R51" s="133">
        <f t="shared" si="3"/>
        <v>105.413</v>
      </c>
      <c r="S51" s="134">
        <v>3</v>
      </c>
      <c r="T51" s="133">
        <f t="shared" si="16"/>
        <v>4.4924239444007341</v>
      </c>
      <c r="U51" s="151">
        <v>54</v>
      </c>
      <c r="V51" s="151" t="s">
        <v>22</v>
      </c>
      <c r="W51" s="151">
        <v>1</v>
      </c>
      <c r="X51" s="151" t="s">
        <v>109</v>
      </c>
      <c r="Y51" s="151" t="s">
        <v>110</v>
      </c>
      <c r="Z51" s="151" t="s">
        <v>111</v>
      </c>
      <c r="AA51" s="151" t="s">
        <v>112</v>
      </c>
    </row>
    <row r="52" spans="1:27">
      <c r="A52" s="118">
        <v>48</v>
      </c>
      <c r="B52" s="162" t="str">
        <f t="shared" si="4"/>
        <v xml:space="preserve"> x  x        </v>
      </c>
      <c r="C52" s="119"/>
      <c r="D52" s="119"/>
      <c r="E52" s="57"/>
      <c r="F52" s="123"/>
      <c r="G52" s="58" t="str">
        <f t="shared" si="11"/>
        <v xml:space="preserve"> </v>
      </c>
      <c r="H52" s="116" t="str">
        <f t="shared" si="12"/>
        <v xml:space="preserve"> </v>
      </c>
      <c r="I52" s="117" t="str">
        <f t="shared" si="13"/>
        <v xml:space="preserve"> </v>
      </c>
      <c r="J52" s="165"/>
      <c r="L52" s="130" t="s">
        <v>79</v>
      </c>
      <c r="M52" s="151">
        <v>63</v>
      </c>
      <c r="N52" s="151">
        <v>42</v>
      </c>
      <c r="O52" s="151">
        <v>42</v>
      </c>
      <c r="P52" s="132">
        <f t="shared" si="14"/>
        <v>111132</v>
      </c>
      <c r="Q52" s="133">
        <f t="shared" si="15"/>
        <v>0.11113199999999999</v>
      </c>
      <c r="R52" s="133">
        <f t="shared" si="3"/>
        <v>111.13200000000001</v>
      </c>
      <c r="S52" s="134">
        <v>3</v>
      </c>
      <c r="T52" s="133">
        <f t="shared" si="16"/>
        <v>4.7361526357199057</v>
      </c>
      <c r="U52" s="151">
        <v>70</v>
      </c>
      <c r="V52" s="151" t="s">
        <v>22</v>
      </c>
      <c r="W52" s="151">
        <v>1</v>
      </c>
      <c r="X52" s="151" t="s">
        <v>80</v>
      </c>
      <c r="Y52" s="151" t="s">
        <v>81</v>
      </c>
      <c r="Z52" s="151" t="s">
        <v>76</v>
      </c>
      <c r="AA52" s="151" t="s">
        <v>82</v>
      </c>
    </row>
    <row r="53" spans="1:27">
      <c r="A53" s="118">
        <v>49</v>
      </c>
      <c r="B53" s="162" t="str">
        <f t="shared" si="4"/>
        <v xml:space="preserve"> x  x        </v>
      </c>
      <c r="C53" s="119"/>
      <c r="D53" s="119"/>
      <c r="E53" s="57"/>
      <c r="F53" s="123"/>
      <c r="G53" s="58" t="str">
        <f t="shared" si="11"/>
        <v xml:space="preserve"> </v>
      </c>
      <c r="H53" s="116" t="str">
        <f t="shared" si="12"/>
        <v xml:space="preserve"> </v>
      </c>
      <c r="I53" s="117" t="str">
        <f t="shared" si="13"/>
        <v xml:space="preserve"> </v>
      </c>
      <c r="J53" s="165"/>
      <c r="L53" s="130" t="s">
        <v>98</v>
      </c>
      <c r="M53" s="151">
        <v>70</v>
      </c>
      <c r="N53" s="151">
        <v>42</v>
      </c>
      <c r="O53" s="151">
        <v>40</v>
      </c>
      <c r="P53" s="132">
        <f t="shared" si="14"/>
        <v>117600</v>
      </c>
      <c r="Q53" s="133">
        <f t="shared" si="15"/>
        <v>0.1176</v>
      </c>
      <c r="R53" s="133">
        <f t="shared" si="3"/>
        <v>117.6</v>
      </c>
      <c r="S53" s="134">
        <v>3</v>
      </c>
      <c r="T53" s="133">
        <f t="shared" si="16"/>
        <v>5.0118017309205349</v>
      </c>
      <c r="U53" s="151">
        <v>54</v>
      </c>
      <c r="V53" s="151" t="s">
        <v>22</v>
      </c>
      <c r="W53" s="151">
        <v>1</v>
      </c>
      <c r="X53" s="151" t="s">
        <v>99</v>
      </c>
      <c r="Y53" s="151" t="s">
        <v>100</v>
      </c>
      <c r="Z53" s="151" t="s">
        <v>101</v>
      </c>
      <c r="AA53" s="151" t="s">
        <v>102</v>
      </c>
    </row>
    <row r="54" spans="1:27">
      <c r="A54" s="118">
        <v>50</v>
      </c>
      <c r="B54" s="162" t="str">
        <f t="shared" si="4"/>
        <v xml:space="preserve"> x  x        </v>
      </c>
      <c r="C54" s="119"/>
      <c r="D54" s="119"/>
      <c r="E54" s="57"/>
      <c r="F54" s="123"/>
      <c r="G54" s="58" t="str">
        <f t="shared" si="11"/>
        <v xml:space="preserve"> </v>
      </c>
      <c r="H54" s="116" t="str">
        <f t="shared" si="12"/>
        <v xml:space="preserve"> </v>
      </c>
      <c r="I54" s="117" t="str">
        <f t="shared" si="13"/>
        <v xml:space="preserve"> </v>
      </c>
      <c r="J54" s="165"/>
      <c r="L54" s="130" t="s">
        <v>56</v>
      </c>
      <c r="M54" s="151">
        <v>50</v>
      </c>
      <c r="N54" s="151">
        <v>50</v>
      </c>
      <c r="O54" s="151">
        <v>50</v>
      </c>
      <c r="P54" s="132">
        <f t="shared" si="14"/>
        <v>125000</v>
      </c>
      <c r="Q54" s="133">
        <f t="shared" si="15"/>
        <v>0.125</v>
      </c>
      <c r="R54" s="133">
        <f t="shared" si="3"/>
        <v>125</v>
      </c>
      <c r="S54" s="134">
        <v>3</v>
      </c>
      <c r="T54" s="133">
        <f t="shared" si="16"/>
        <v>5.3271702071859428</v>
      </c>
      <c r="U54" s="151">
        <v>54</v>
      </c>
      <c r="V54" s="151" t="s">
        <v>22</v>
      </c>
      <c r="W54" s="151">
        <v>1</v>
      </c>
      <c r="X54" s="151" t="s">
        <v>57</v>
      </c>
      <c r="Y54" s="151" t="s">
        <v>58</v>
      </c>
      <c r="Z54" s="151" t="s">
        <v>59</v>
      </c>
      <c r="AA54" s="151" t="s">
        <v>60</v>
      </c>
    </row>
    <row r="55" spans="1:27">
      <c r="A55" s="118">
        <v>51</v>
      </c>
      <c r="B55" s="162" t="str">
        <f t="shared" si="4"/>
        <v xml:space="preserve"> x  x        </v>
      </c>
      <c r="C55" s="119"/>
      <c r="D55" s="119"/>
      <c r="E55" s="57"/>
      <c r="F55" s="123"/>
      <c r="G55" s="58" t="str">
        <f t="shared" si="11"/>
        <v xml:space="preserve"> </v>
      </c>
      <c r="H55" s="116" t="str">
        <f t="shared" si="12"/>
        <v xml:space="preserve"> </v>
      </c>
      <c r="I55" s="117" t="str">
        <f t="shared" si="13"/>
        <v xml:space="preserve"> </v>
      </c>
      <c r="J55" s="165"/>
      <c r="L55" s="130" t="s">
        <v>70</v>
      </c>
      <c r="M55" s="151">
        <v>57</v>
      </c>
      <c r="N55" s="151">
        <v>47</v>
      </c>
      <c r="O55" s="151">
        <v>49</v>
      </c>
      <c r="P55" s="132">
        <f t="shared" si="14"/>
        <v>131271</v>
      </c>
      <c r="Q55" s="133">
        <f t="shared" si="15"/>
        <v>0.131271</v>
      </c>
      <c r="R55" s="133">
        <f t="shared" si="3"/>
        <v>131.27099999999999</v>
      </c>
      <c r="S55" s="134">
        <v>3</v>
      </c>
      <c r="T55" s="133">
        <f t="shared" si="16"/>
        <v>5.5944236821400475</v>
      </c>
      <c r="U55" s="151">
        <v>54</v>
      </c>
      <c r="V55" s="151" t="s">
        <v>22</v>
      </c>
      <c r="W55" s="151">
        <v>1</v>
      </c>
      <c r="X55" s="151" t="s">
        <v>71</v>
      </c>
      <c r="Y55" s="151" t="s">
        <v>72</v>
      </c>
      <c r="Z55" s="151" t="s">
        <v>73</v>
      </c>
      <c r="AA55" s="151" t="s">
        <v>74</v>
      </c>
    </row>
    <row r="56" spans="1:27">
      <c r="A56" s="118">
        <v>52</v>
      </c>
      <c r="B56" s="162" t="str">
        <f t="shared" si="4"/>
        <v xml:space="preserve"> x  x        </v>
      </c>
      <c r="C56" s="119"/>
      <c r="D56" s="119"/>
      <c r="E56" s="57"/>
      <c r="F56" s="123"/>
      <c r="G56" s="58" t="str">
        <f t="shared" si="11"/>
        <v xml:space="preserve"> </v>
      </c>
      <c r="H56" s="116" t="str">
        <f t="shared" si="12"/>
        <v xml:space="preserve"> </v>
      </c>
      <c r="I56" s="117" t="str">
        <f t="shared" si="13"/>
        <v xml:space="preserve"> </v>
      </c>
      <c r="J56" s="165"/>
      <c r="L56" s="130" t="s">
        <v>113</v>
      </c>
      <c r="M56" s="151">
        <v>77</v>
      </c>
      <c r="N56" s="151">
        <v>38</v>
      </c>
      <c r="O56" s="151">
        <v>45</v>
      </c>
      <c r="P56" s="132">
        <f t="shared" si="14"/>
        <v>131670</v>
      </c>
      <c r="Q56" s="133">
        <f t="shared" si="15"/>
        <v>0.13167000000000001</v>
      </c>
      <c r="R56" s="133">
        <f t="shared" si="3"/>
        <v>131.66999999999999</v>
      </c>
      <c r="S56" s="134">
        <v>3</v>
      </c>
      <c r="T56" s="133">
        <f t="shared" si="16"/>
        <v>5.6114280094413846</v>
      </c>
      <c r="U56" s="151">
        <v>54</v>
      </c>
      <c r="V56" s="151" t="s">
        <v>22</v>
      </c>
      <c r="W56" s="151">
        <v>1</v>
      </c>
      <c r="X56" s="151" t="s">
        <v>114</v>
      </c>
      <c r="Y56" s="151" t="s">
        <v>115</v>
      </c>
      <c r="Z56" s="151" t="s">
        <v>116</v>
      </c>
      <c r="AA56" s="151" t="s">
        <v>117</v>
      </c>
    </row>
    <row r="57" spans="1:27">
      <c r="A57" s="118">
        <v>53</v>
      </c>
      <c r="B57" s="162" t="str">
        <f t="shared" si="4"/>
        <v xml:space="preserve"> x  x        </v>
      </c>
      <c r="C57" s="119"/>
      <c r="D57" s="119"/>
      <c r="E57" s="57"/>
      <c r="F57" s="123"/>
      <c r="G57" s="58" t="str">
        <f t="shared" si="11"/>
        <v xml:space="preserve"> </v>
      </c>
      <c r="H57" s="116" t="str">
        <f t="shared" si="12"/>
        <v xml:space="preserve"> </v>
      </c>
      <c r="I57" s="117" t="str">
        <f t="shared" si="13"/>
        <v xml:space="preserve"> </v>
      </c>
      <c r="J57" s="165"/>
      <c r="L57" s="130" t="s">
        <v>83</v>
      </c>
      <c r="M57" s="151">
        <v>66</v>
      </c>
      <c r="N57" s="151">
        <v>40</v>
      </c>
      <c r="O57" s="151">
        <v>51</v>
      </c>
      <c r="P57" s="132">
        <f t="shared" si="14"/>
        <v>134640</v>
      </c>
      <c r="Q57" s="133">
        <f t="shared" si="15"/>
        <v>0.13464000000000001</v>
      </c>
      <c r="R57" s="133">
        <f t="shared" si="3"/>
        <v>134.63999999999999</v>
      </c>
      <c r="S57" s="134">
        <v>3</v>
      </c>
      <c r="T57" s="133">
        <f t="shared" si="16"/>
        <v>5.738001573564123</v>
      </c>
      <c r="U57" s="151">
        <v>70</v>
      </c>
      <c r="V57" s="151" t="s">
        <v>22</v>
      </c>
      <c r="W57" s="151">
        <v>1</v>
      </c>
      <c r="X57" s="151" t="s">
        <v>84</v>
      </c>
      <c r="Y57" s="151" t="s">
        <v>85</v>
      </c>
      <c r="Z57" s="151" t="s">
        <v>86</v>
      </c>
      <c r="AA57" s="151" t="s">
        <v>87</v>
      </c>
    </row>
    <row r="58" spans="1:27">
      <c r="A58" s="118">
        <v>54</v>
      </c>
      <c r="B58" s="162" t="str">
        <f t="shared" si="4"/>
        <v xml:space="preserve"> x  x        </v>
      </c>
      <c r="C58" s="119"/>
      <c r="D58" s="119"/>
      <c r="E58" s="57"/>
      <c r="F58" s="123"/>
      <c r="G58" s="58" t="str">
        <f t="shared" si="11"/>
        <v xml:space="preserve"> </v>
      </c>
      <c r="H58" s="116" t="str">
        <f t="shared" si="12"/>
        <v xml:space="preserve"> </v>
      </c>
      <c r="I58" s="117" t="str">
        <f t="shared" si="13"/>
        <v xml:space="preserve"> </v>
      </c>
      <c r="J58" s="165"/>
      <c r="L58" s="130" t="s">
        <v>88</v>
      </c>
      <c r="M58" s="151">
        <v>67</v>
      </c>
      <c r="N58" s="151">
        <v>54</v>
      </c>
      <c r="O58" s="151">
        <v>54</v>
      </c>
      <c r="P58" s="132">
        <f t="shared" si="14"/>
        <v>195372</v>
      </c>
      <c r="Q58" s="133">
        <f t="shared" si="15"/>
        <v>0.19537199999999999</v>
      </c>
      <c r="R58" s="133">
        <f t="shared" si="3"/>
        <v>195.37200000000001</v>
      </c>
      <c r="S58" s="134">
        <v>3</v>
      </c>
      <c r="T58" s="133">
        <f t="shared" si="16"/>
        <v>8.3262391817466561</v>
      </c>
      <c r="U58" s="151">
        <v>70</v>
      </c>
      <c r="V58" s="151" t="s">
        <v>22</v>
      </c>
      <c r="W58" s="151">
        <v>1</v>
      </c>
      <c r="X58" s="151" t="s">
        <v>89</v>
      </c>
      <c r="Y58" s="151" t="s">
        <v>90</v>
      </c>
      <c r="Z58" s="151" t="s">
        <v>91</v>
      </c>
      <c r="AA58" s="151" t="s">
        <v>92</v>
      </c>
    </row>
    <row r="59" spans="1:27">
      <c r="A59" s="118">
        <v>55</v>
      </c>
      <c r="B59" s="162" t="str">
        <f t="shared" si="4"/>
        <v xml:space="preserve"> x  x        </v>
      </c>
      <c r="C59" s="119"/>
      <c r="D59" s="119"/>
      <c r="E59" s="57"/>
      <c r="F59" s="123"/>
      <c r="G59" s="58" t="str">
        <f t="shared" si="11"/>
        <v xml:space="preserve"> </v>
      </c>
      <c r="H59" s="116" t="str">
        <f t="shared" si="12"/>
        <v xml:space="preserve"> </v>
      </c>
      <c r="I59" s="117" t="str">
        <f t="shared" si="13"/>
        <v xml:space="preserve"> </v>
      </c>
      <c r="J59" s="165"/>
      <c r="L59" s="130" t="s">
        <v>118</v>
      </c>
      <c r="M59" s="151">
        <v>77</v>
      </c>
      <c r="N59" s="151">
        <v>57</v>
      </c>
      <c r="O59" s="151">
        <v>45</v>
      </c>
      <c r="P59" s="132">
        <f t="shared" si="14"/>
        <v>197505</v>
      </c>
      <c r="Q59" s="133">
        <f t="shared" si="15"/>
        <v>0.19750499999999999</v>
      </c>
      <c r="R59" s="133">
        <f t="shared" si="3"/>
        <v>197.505</v>
      </c>
      <c r="S59" s="134">
        <v>3</v>
      </c>
      <c r="T59" s="133">
        <f t="shared" si="16"/>
        <v>8.4171420141620779</v>
      </c>
      <c r="U59" s="151">
        <v>54</v>
      </c>
      <c r="V59" s="151" t="s">
        <v>22</v>
      </c>
      <c r="W59" s="151">
        <v>1</v>
      </c>
      <c r="X59" s="151" t="s">
        <v>119</v>
      </c>
      <c r="Y59" s="151" t="s">
        <v>120</v>
      </c>
      <c r="Z59" s="151" t="s">
        <v>121</v>
      </c>
      <c r="AA59" s="151" t="s">
        <v>122</v>
      </c>
    </row>
    <row r="60" spans="1:27">
      <c r="A60" s="118">
        <v>56</v>
      </c>
      <c r="B60" s="162" t="str">
        <f t="shared" si="4"/>
        <v xml:space="preserve"> x  x        </v>
      </c>
      <c r="C60" s="119"/>
      <c r="D60" s="119"/>
      <c r="E60" s="57"/>
      <c r="F60" s="123"/>
      <c r="G60" s="58" t="str">
        <f t="shared" si="11"/>
        <v xml:space="preserve"> </v>
      </c>
      <c r="H60" s="116" t="str">
        <f t="shared" si="12"/>
        <v xml:space="preserve"> </v>
      </c>
      <c r="I60" s="117" t="str">
        <f t="shared" si="13"/>
        <v xml:space="preserve"> </v>
      </c>
      <c r="J60" s="165"/>
      <c r="L60" s="130" t="s">
        <v>128</v>
      </c>
      <c r="M60" s="151">
        <v>80</v>
      </c>
      <c r="N60" s="151">
        <v>50</v>
      </c>
      <c r="O60" s="151">
        <v>50</v>
      </c>
      <c r="P60" s="132">
        <f t="shared" si="14"/>
        <v>200000</v>
      </c>
      <c r="Q60" s="133">
        <f t="shared" si="15"/>
        <v>0.2</v>
      </c>
      <c r="R60" s="133">
        <f t="shared" si="3"/>
        <v>200</v>
      </c>
      <c r="S60" s="134">
        <v>3</v>
      </c>
      <c r="T60" s="133">
        <f t="shared" si="16"/>
        <v>8.5234723314975085</v>
      </c>
      <c r="U60" s="151">
        <v>70</v>
      </c>
      <c r="V60" s="151" t="s">
        <v>22</v>
      </c>
      <c r="W60" s="151">
        <v>1</v>
      </c>
      <c r="X60" s="151" t="s">
        <v>129</v>
      </c>
      <c r="Y60" s="151" t="s">
        <v>130</v>
      </c>
      <c r="Z60" s="151" t="s">
        <v>131</v>
      </c>
      <c r="AA60" s="151" t="s">
        <v>132</v>
      </c>
    </row>
    <row r="61" spans="1:27">
      <c r="A61" s="118">
        <v>57</v>
      </c>
      <c r="B61" s="162" t="str">
        <f t="shared" si="4"/>
        <v xml:space="preserve"> x  x        </v>
      </c>
      <c r="C61" s="119"/>
      <c r="D61" s="119"/>
      <c r="E61" s="57"/>
      <c r="F61" s="123"/>
      <c r="G61" s="58" t="str">
        <f t="shared" si="11"/>
        <v xml:space="preserve"> </v>
      </c>
      <c r="H61" s="116" t="str">
        <f t="shared" si="12"/>
        <v xml:space="preserve"> </v>
      </c>
      <c r="I61" s="117" t="str">
        <f t="shared" si="13"/>
        <v xml:space="preserve"> </v>
      </c>
      <c r="J61" s="165"/>
      <c r="L61" s="130" t="s">
        <v>133</v>
      </c>
      <c r="M61" s="151">
        <v>97</v>
      </c>
      <c r="N61" s="151">
        <v>57</v>
      </c>
      <c r="O61" s="151">
        <v>42</v>
      </c>
      <c r="P61" s="132">
        <f t="shared" si="14"/>
        <v>232218</v>
      </c>
      <c r="Q61" s="133">
        <f t="shared" si="15"/>
        <v>0.23221800000000001</v>
      </c>
      <c r="R61" s="133">
        <f t="shared" si="3"/>
        <v>232.21799999999999</v>
      </c>
      <c r="S61" s="134">
        <v>3</v>
      </c>
      <c r="T61" s="133">
        <f t="shared" si="16"/>
        <v>9.8965184893784421</v>
      </c>
      <c r="U61" s="151">
        <v>54</v>
      </c>
      <c r="V61" s="151" t="s">
        <v>22</v>
      </c>
      <c r="W61" s="151">
        <v>1</v>
      </c>
      <c r="X61" s="151" t="s">
        <v>134</v>
      </c>
      <c r="Y61" s="151" t="s">
        <v>135</v>
      </c>
      <c r="Z61" s="151" t="s">
        <v>136</v>
      </c>
      <c r="AA61" s="151" t="s">
        <v>137</v>
      </c>
    </row>
    <row r="62" spans="1:27">
      <c r="L62" s="130" t="s">
        <v>103</v>
      </c>
      <c r="M62" s="151">
        <v>75</v>
      </c>
      <c r="N62" s="151">
        <v>55</v>
      </c>
      <c r="O62" s="151">
        <v>60</v>
      </c>
      <c r="P62" s="132">
        <f t="shared" si="14"/>
        <v>247500</v>
      </c>
      <c r="Q62" s="133">
        <f t="shared" si="15"/>
        <v>0.2475</v>
      </c>
      <c r="R62" s="133">
        <f t="shared" si="3"/>
        <v>247.5</v>
      </c>
      <c r="S62" s="134">
        <v>3</v>
      </c>
      <c r="T62" s="133">
        <f t="shared" si="16"/>
        <v>10.547797010228166</v>
      </c>
      <c r="U62" s="151">
        <v>70</v>
      </c>
      <c r="V62" s="151" t="s">
        <v>22</v>
      </c>
      <c r="W62" s="151">
        <v>1</v>
      </c>
      <c r="X62" s="151" t="s">
        <v>104</v>
      </c>
      <c r="Y62" s="151" t="s">
        <v>105</v>
      </c>
      <c r="Z62" s="151" t="s">
        <v>106</v>
      </c>
      <c r="AA62" s="151" t="s">
        <v>107</v>
      </c>
    </row>
    <row r="63" spans="1:27">
      <c r="L63" s="130" t="s">
        <v>123</v>
      </c>
      <c r="M63" s="151">
        <v>77</v>
      </c>
      <c r="N63" s="151">
        <v>57</v>
      </c>
      <c r="O63" s="151">
        <v>57</v>
      </c>
      <c r="P63" s="132">
        <f t="shared" si="14"/>
        <v>250173</v>
      </c>
      <c r="Q63" s="133">
        <f t="shared" si="15"/>
        <v>0.25017299999999998</v>
      </c>
      <c r="R63" s="133">
        <f t="shared" si="3"/>
        <v>250.173</v>
      </c>
      <c r="S63" s="134">
        <v>3</v>
      </c>
      <c r="T63" s="133">
        <f t="shared" si="16"/>
        <v>10.661713217938631</v>
      </c>
      <c r="U63" s="151">
        <v>54</v>
      </c>
      <c r="V63" s="151" t="s">
        <v>22</v>
      </c>
      <c r="W63" s="151">
        <v>1</v>
      </c>
      <c r="X63" s="151" t="s">
        <v>124</v>
      </c>
      <c r="Y63" s="151" t="s">
        <v>125</v>
      </c>
      <c r="Z63" s="151" t="s">
        <v>126</v>
      </c>
      <c r="AA63" s="151" t="s">
        <v>127</v>
      </c>
    </row>
    <row r="64" spans="1:27">
      <c r="L64" s="130" t="s">
        <v>138</v>
      </c>
      <c r="M64" s="151">
        <v>101</v>
      </c>
      <c r="N64" s="151">
        <v>54</v>
      </c>
      <c r="O64" s="151">
        <v>54</v>
      </c>
      <c r="P64" s="132">
        <f t="shared" si="14"/>
        <v>294516</v>
      </c>
      <c r="Q64" s="133">
        <f t="shared" si="15"/>
        <v>0.294516</v>
      </c>
      <c r="R64" s="133">
        <f t="shared" si="3"/>
        <v>294.51600000000002</v>
      </c>
      <c r="S64" s="134">
        <v>3</v>
      </c>
      <c r="T64" s="133">
        <f t="shared" si="16"/>
        <v>12.5514948859166</v>
      </c>
      <c r="U64" s="151">
        <v>70</v>
      </c>
      <c r="V64" s="151" t="s">
        <v>22</v>
      </c>
      <c r="W64" s="151">
        <v>1</v>
      </c>
      <c r="X64" s="151" t="s">
        <v>139</v>
      </c>
      <c r="Y64" s="151" t="s">
        <v>140</v>
      </c>
      <c r="Z64" s="151" t="s">
        <v>141</v>
      </c>
      <c r="AA64" s="151" t="s">
        <v>142</v>
      </c>
    </row>
    <row r="65" spans="12:27">
      <c r="L65" s="130" t="s">
        <v>148</v>
      </c>
      <c r="M65" s="151">
        <v>110</v>
      </c>
      <c r="N65" s="151">
        <v>60</v>
      </c>
      <c r="O65" s="151">
        <v>65</v>
      </c>
      <c r="P65" s="132">
        <f t="shared" si="14"/>
        <v>429000</v>
      </c>
      <c r="Q65" s="133">
        <f t="shared" si="15"/>
        <v>0.42899999999999999</v>
      </c>
      <c r="R65" s="133">
        <f t="shared" si="3"/>
        <v>429</v>
      </c>
      <c r="S65" s="134">
        <v>3</v>
      </c>
      <c r="T65" s="133">
        <f t="shared" si="16"/>
        <v>18.282848151062154</v>
      </c>
      <c r="U65" s="151">
        <v>54</v>
      </c>
      <c r="V65" s="151" t="s">
        <v>22</v>
      </c>
      <c r="W65" s="151">
        <v>1</v>
      </c>
      <c r="X65" s="151" t="s">
        <v>149</v>
      </c>
      <c r="Y65" s="151" t="s">
        <v>150</v>
      </c>
      <c r="Z65" s="151" t="s">
        <v>151</v>
      </c>
      <c r="AA65" s="151" t="s">
        <v>152</v>
      </c>
    </row>
    <row r="66" spans="12:27">
      <c r="L66" s="130" t="s">
        <v>143</v>
      </c>
      <c r="M66" s="151">
        <v>104</v>
      </c>
      <c r="N66" s="151">
        <v>71</v>
      </c>
      <c r="O66" s="151">
        <v>59</v>
      </c>
      <c r="P66" s="132">
        <f t="shared" si="14"/>
        <v>435656</v>
      </c>
      <c r="Q66" s="133">
        <f t="shared" si="15"/>
        <v>0.43565599999999999</v>
      </c>
      <c r="R66" s="133">
        <f t="shared" si="3"/>
        <v>435.65600000000001</v>
      </c>
      <c r="S66" s="134">
        <v>3</v>
      </c>
      <c r="T66" s="133">
        <f t="shared" si="16"/>
        <v>18.566509310254393</v>
      </c>
      <c r="U66" s="151">
        <v>54</v>
      </c>
      <c r="V66" s="151" t="s">
        <v>22</v>
      </c>
      <c r="W66" s="151">
        <v>1</v>
      </c>
      <c r="X66" s="151" t="s">
        <v>144</v>
      </c>
      <c r="Y66" s="151" t="s">
        <v>145</v>
      </c>
      <c r="Z66" s="151" t="s">
        <v>146</v>
      </c>
      <c r="AA66" s="151" t="s">
        <v>147</v>
      </c>
    </row>
    <row r="67" spans="12:27">
      <c r="L67" s="130" t="s">
        <v>159</v>
      </c>
      <c r="M67" s="151">
        <v>120</v>
      </c>
      <c r="N67" s="151">
        <v>80</v>
      </c>
      <c r="O67" s="151">
        <v>71</v>
      </c>
      <c r="P67" s="132">
        <f t="shared" si="14"/>
        <v>681600</v>
      </c>
      <c r="Q67" s="133">
        <f t="shared" si="15"/>
        <v>0.68159999999999998</v>
      </c>
      <c r="R67" s="133">
        <f t="shared" si="3"/>
        <v>681.6</v>
      </c>
      <c r="S67" s="134">
        <v>3</v>
      </c>
      <c r="T67" s="133">
        <f t="shared" si="16"/>
        <v>29.047993705743508</v>
      </c>
      <c r="U67" s="151">
        <v>54</v>
      </c>
      <c r="V67" s="151" t="s">
        <v>22</v>
      </c>
      <c r="W67" s="151">
        <v>1</v>
      </c>
      <c r="X67" s="151" t="s">
        <v>160</v>
      </c>
      <c r="Y67" s="151" t="s">
        <v>161</v>
      </c>
      <c r="Z67" s="151" t="s">
        <v>162</v>
      </c>
      <c r="AA67" s="151" t="s">
        <v>163</v>
      </c>
    </row>
    <row r="68" spans="12:27">
      <c r="L68" s="130" t="s">
        <v>164</v>
      </c>
      <c r="M68" s="151">
        <v>120</v>
      </c>
      <c r="N68" s="151">
        <v>80</v>
      </c>
      <c r="O68" s="151">
        <v>85</v>
      </c>
      <c r="P68" s="132">
        <f t="shared" ref="P68:P70" si="17">+M68*N68*O68</f>
        <v>816000</v>
      </c>
      <c r="Q68" s="133">
        <f t="shared" si="15"/>
        <v>0.81599999999999995</v>
      </c>
      <c r="R68" s="133">
        <f t="shared" si="3"/>
        <v>816</v>
      </c>
      <c r="S68" s="134">
        <v>3</v>
      </c>
      <c r="T68" s="133">
        <f t="shared" si="16"/>
        <v>34.775767112509833</v>
      </c>
      <c r="U68" s="151">
        <v>70</v>
      </c>
      <c r="V68" s="151" t="s">
        <v>22</v>
      </c>
      <c r="W68" s="151">
        <v>1</v>
      </c>
      <c r="X68" s="151" t="s">
        <v>165</v>
      </c>
      <c r="Y68" s="151" t="s">
        <v>166</v>
      </c>
      <c r="Z68" s="151" t="s">
        <v>167</v>
      </c>
      <c r="AA68" s="151" t="s">
        <v>168</v>
      </c>
    </row>
    <row r="69" spans="12:27">
      <c r="L69" s="130" t="s">
        <v>153</v>
      </c>
      <c r="M69" s="151">
        <v>119</v>
      </c>
      <c r="N69" s="151">
        <v>99</v>
      </c>
      <c r="O69" s="151">
        <v>83</v>
      </c>
      <c r="P69" s="132">
        <f t="shared" si="17"/>
        <v>977823</v>
      </c>
      <c r="Q69" s="133">
        <f t="shared" si="15"/>
        <v>0.977823</v>
      </c>
      <c r="R69" s="133">
        <f t="shared" ref="R69:R70" si="18">P69/1000</f>
        <v>977.82299999999998</v>
      </c>
      <c r="S69" s="134">
        <v>3</v>
      </c>
      <c r="T69" s="133">
        <f t="shared" si="16"/>
        <v>41.672236428009441</v>
      </c>
      <c r="U69" s="151">
        <v>54</v>
      </c>
      <c r="V69" s="151" t="s">
        <v>154</v>
      </c>
      <c r="W69" s="151">
        <v>1</v>
      </c>
      <c r="X69" s="151" t="s">
        <v>155</v>
      </c>
      <c r="Y69" s="151" t="s">
        <v>156</v>
      </c>
      <c r="Z69" s="151" t="s">
        <v>157</v>
      </c>
      <c r="AA69" s="151" t="s">
        <v>158</v>
      </c>
    </row>
    <row r="70" spans="12:27">
      <c r="L70" s="130" t="s">
        <v>169</v>
      </c>
      <c r="M70" s="151">
        <v>120</v>
      </c>
      <c r="N70" s="151">
        <v>80</v>
      </c>
      <c r="O70" s="151">
        <v>116</v>
      </c>
      <c r="P70" s="132">
        <f t="shared" si="17"/>
        <v>1113600</v>
      </c>
      <c r="Q70" s="133">
        <f t="shared" si="15"/>
        <v>1.1135999999999999</v>
      </c>
      <c r="R70" s="133">
        <f t="shared" si="18"/>
        <v>1113.5999999999999</v>
      </c>
      <c r="S70" s="134">
        <v>3</v>
      </c>
      <c r="T70" s="133">
        <f t="shared" si="16"/>
        <v>47.458693941778129</v>
      </c>
      <c r="U70" s="151">
        <v>54</v>
      </c>
      <c r="V70" s="151" t="s">
        <v>22</v>
      </c>
      <c r="W70" s="151">
        <v>1</v>
      </c>
      <c r="X70" s="151" t="s">
        <v>170</v>
      </c>
      <c r="Y70" s="151" t="s">
        <v>171</v>
      </c>
      <c r="Z70" s="151" t="s">
        <v>172</v>
      </c>
      <c r="AA70" s="151" t="s">
        <v>173</v>
      </c>
    </row>
  </sheetData>
  <sheetProtection sheet="1" objects="1" scenarios="1"/>
  <sortState ref="B5:J10">
    <sortCondition ref="G5:G10"/>
  </sortState>
  <mergeCells count="1">
    <mergeCell ref="C3:J3"/>
  </mergeCells>
  <hyperlinks>
    <hyperlink ref="L70" r:id="rId1" display="https://www.packdiscount.com/caisse-carton-triple-cannelure-120-x-80-x-116-cm-tc241.html" xr:uid="{00000000-0004-0000-0300-000000000000}"/>
    <hyperlink ref="L68" r:id="rId2" display="https://www.packdiscount.com/caisse-carton-triple-cannelure-120-x-80-x-85-cm-tc224.html" xr:uid="{00000000-0004-0000-0300-000001000000}"/>
    <hyperlink ref="L67" r:id="rId3" display="https://www.packdiscount.com/caisse-carton-triple-cannelure-120-x-80-x-71-cm-tc240.html" xr:uid="{00000000-0004-0000-0300-000002000000}"/>
    <hyperlink ref="L69" r:id="rId4" display="https://www.packdiscount.com/caisse-carton-triple-cannelure-119-x-99-x-83-cm-tcc09.html" xr:uid="{00000000-0004-0000-0300-000003000000}"/>
    <hyperlink ref="L65" r:id="rId5" display="https://www.packdiscount.com/caisse-carton-triple-cannelure-110-x-60-x-65-cm-tc239.html" xr:uid="{00000000-0004-0000-0300-000004000000}"/>
    <hyperlink ref="L66" r:id="rId6" display="https://www.packdiscount.com/caisse-carton-triple-cannelure-104-x-71-x-59-cm-tcc05.html" xr:uid="{00000000-0004-0000-0300-000005000000}"/>
    <hyperlink ref="L64" r:id="rId7" display="https://www.packdiscount.com/caisse-carton-triple-cannelure-101-x-54-x-54-cm-tc222.html" xr:uid="{00000000-0004-0000-0300-000006000000}"/>
    <hyperlink ref="L61" r:id="rId8" display="https://www.packdiscount.com/caisse-carton-triple-cannelure-97-x-57-x-42-cm-tc238.html" xr:uid="{00000000-0004-0000-0300-000007000000}"/>
    <hyperlink ref="L60" r:id="rId9" display="https://www.packdiscount.com/caisse-carton-triple-cannelure-80-x-50-x-50-cm-tc220.html" xr:uid="{00000000-0004-0000-0300-000008000000}"/>
    <hyperlink ref="L63" r:id="rId10" display="https://www.packdiscount.com/caisse-carton-triple-cannelure-77-x-57-x-57-cm-tc237.html" xr:uid="{00000000-0004-0000-0300-000009000000}"/>
    <hyperlink ref="L59" r:id="rId11" display="https://www.packdiscount.com/caisse-carton-triple-cannelure-77-x-57-x-45-cm-tc236.html" xr:uid="{00000000-0004-0000-0300-00000A000000}"/>
    <hyperlink ref="L56" r:id="rId12" display="https://www.packdiscount.com/caisse-carton-triple-cannelure-77-x-38-x-45-cm-tc235.html" xr:uid="{00000000-0004-0000-0300-00000B000000}"/>
    <hyperlink ref="L51" r:id="rId13" display="https://www.packdiscount.com/caisse-carton-triple-cannelure-77-x-37-x-37-cm-tc234.html" xr:uid="{00000000-0004-0000-0300-00000C000000}"/>
    <hyperlink ref="L62" r:id="rId14" display="https://www.packdiscount.com/caisse-carton-triple-cannelure-75-x-55-x-60-cm-tc218.html" xr:uid="{00000000-0004-0000-0300-00000D000000}"/>
    <hyperlink ref="L53" r:id="rId15" display="https://www.packdiscount.com/caisse-carton-triple-cannelure-70-x-42-x-40-cm-tc233.html" xr:uid="{00000000-0004-0000-0300-00000E000000}"/>
    <hyperlink ref="L50" r:id="rId16" display="https://www.packdiscount.com/caisse-carton-triple-cannelure-70-x-40-x-32-cm-tc216.html" xr:uid="{00000000-0004-0000-0300-00000F000000}"/>
    <hyperlink ref="L58" r:id="rId17" display="https://www.packdiscount.com/caisse-carton-triple-cannelure-67-x-54-x-54-cm-tc214.html" xr:uid="{00000000-0004-0000-0300-000010000000}"/>
    <hyperlink ref="L57" r:id="rId18" display="https://www.packdiscount.com/caisse-carton-triple-cannelure-66-x-40-x-51-cm-tc212.html" xr:uid="{00000000-0004-0000-0300-000011000000}"/>
    <hyperlink ref="L52" r:id="rId19" display="https://www.packdiscount.com/caisse-carton-triple-cannelure-63-x-42-x-42-cm-tc210.html" xr:uid="{00000000-0004-0000-0300-000012000000}"/>
    <hyperlink ref="L43" r:id="rId20" display="https://www.packdiscount.com/caisse-carton-triple-cannelure-60-x-31-x-31-cm-tc208.html" xr:uid="{00000000-0004-0000-0300-000013000000}"/>
    <hyperlink ref="L55" r:id="rId21" display="https://www.packdiscount.com/caisse-carton-triple-cannelure-57-x-47-x-49-cm-tc232.html" xr:uid="{00000000-0004-0000-0300-000014000000}"/>
    <hyperlink ref="L48" r:id="rId22" display="https://www.packdiscount.com/caisse-carton-triple-cannelure-57-x-37-x-36-cm-tc231.html" xr:uid="{00000000-0004-0000-0300-000015000000}"/>
    <hyperlink ref="L47" r:id="rId23" display="https://www.packdiscount.com/caisse-carton-triple-cannelure-54-x-39-x-36-cm-tc206.html" xr:uid="{00000000-0004-0000-0300-000016000000}"/>
    <hyperlink ref="L54" r:id="rId24" display="https://www.packdiscount.com/caisse-carton-triple-cannelure-50-x-50-x-50-cm-tc230.html" xr:uid="{00000000-0004-0000-0300-000017000000}"/>
    <hyperlink ref="L49" r:id="rId25" display="https://www.packdiscount.com/caisse-carton-triple-cannelure-50-x-40-x-40-cm-tc204.html" xr:uid="{00000000-0004-0000-0300-000018000000}"/>
    <hyperlink ref="L40" r:id="rId26" display="https://www.packdiscount.com/caisse-carton-triple-cannelure-50-x-33-x-25-cm-tc202.html" xr:uid="{00000000-0004-0000-0300-000019000000}"/>
    <hyperlink ref="L42" r:id="rId27" display="https://www.packdiscount.com/caisse-carton-triple-cannelure-48-x-30-x-33-cm-tc229.html" xr:uid="{00000000-0004-0000-0300-00001A000000}"/>
    <hyperlink ref="L44" r:id="rId28" display="https://www.packdiscount.com/caisse-carton-triple-cannelure-47-x-37-x-34-cm-tc228.html" xr:uid="{00000000-0004-0000-0300-00001B000000}"/>
    <hyperlink ref="L36" r:id="rId29" display="https://www.packdiscount.com/caisse-carton-triple-cannelure-46-x-26-x-26-cm-tc200.html" xr:uid="{00000000-0004-0000-0300-00001C000000}"/>
    <hyperlink ref="L34" r:id="rId30" display="https://www.packdiscount.com/caisse-carton-triple-cannelure-41-x-31-x-24-cm-tc226.html" xr:uid="{00000000-0004-0000-0300-00001D000000}"/>
    <hyperlink ref="L46" r:id="rId31" display="https://www.packdiscount.com/caisse-carton-triple-cannelure-40-x-40-x-40-cm-tc227.html" xr:uid="{00000000-0004-0000-0300-00001E000000}"/>
    <hyperlink ref="L4" r:id="rId32" display="https://www.packdiscount.com/caisse-carton-double-cannelure-16-x-12-x-11-cm-dc300a.html" xr:uid="{00000000-0004-0000-0300-00001F000000}"/>
    <hyperlink ref="L5" r:id="rId33" display="https://www.packdiscount.com/caisse-carton-double-cannelure-20-x-15-x-12-cm-dc3b.html" xr:uid="{00000000-0004-0000-0300-000020000000}"/>
    <hyperlink ref="L6" r:id="rId34" display="https://www.packdiscount.com/caisse-carton-double-cannelure-20-x-15-x-15-cm-dc3a.html" xr:uid="{00000000-0004-0000-0300-000021000000}"/>
    <hyperlink ref="L11" r:id="rId35" display="https://www.packdiscount.com/caisse-carton-cubique-double-cannelure-20-x-20-x-20-cm-dc300.html" xr:uid="{00000000-0004-0000-0300-000022000000}"/>
    <hyperlink ref="L8" r:id="rId36" display="https://www.packdiscount.com/caisse-carton-double-cannelure-25-x-18-x-14-cm-dc301.html" xr:uid="{00000000-0004-0000-0300-000023000000}"/>
    <hyperlink ref="L10" r:id="rId37" display="https://www.packdiscount.com/caisse-carton-double-cannelure-25-x-20-x-15-cm-dc301b.html" xr:uid="{00000000-0004-0000-0300-000024000000}"/>
    <hyperlink ref="L7" r:id="rId38" display="https://www.packdiscount.com/caisse-carton-double-cannelure-25-x-25-x-10-cm-dc301c.html" xr:uid="{00000000-0004-0000-0300-000025000000}"/>
    <hyperlink ref="L33" r:id="rId39" display="https://www.packdiscount.com/caisse-carton-cubique-double-cannelure-30-x-30-x-30-cm-dc306.html" xr:uid="{00000000-0004-0000-0300-000026000000}"/>
    <hyperlink ref="L9" r:id="rId40" display="https://www.packdiscount.com/caisse-carton-double-cannelure-31-x-21-5-x-10-cm-dc307a.html" xr:uid="{00000000-0004-0000-0300-000027000000}"/>
    <hyperlink ref="L32" r:id="rId41" display="https://www.packdiscount.com/caisse-carton-double-cannelure-35-x-35-x-20-cm-dc310c.html" xr:uid="{00000000-0004-0000-0300-000028000000}"/>
    <hyperlink ref="L35" r:id="rId42" display="https://www.packdiscount.com/caisse-carton-double-cannelure-35-x-35-x-25-cm-dc311.html" xr:uid="{00000000-0004-0000-0300-000029000000}"/>
    <hyperlink ref="L41" r:id="rId43" display="https://www.packdiscount.com/caisse-carton-double-cannelure-35-x-35-x-35-cm-dc312.html" xr:uid="{00000000-0004-0000-0300-00002A000000}"/>
    <hyperlink ref="L12" r:id="rId44" display="https://www.packdiscount.com/caisse-carton-double-cannelure-35-x-22-x-12-cm-dc308a.html" xr:uid="{00000000-0004-0000-0300-00002B000000}"/>
    <hyperlink ref="L13" r:id="rId45" display="https://www.packdiscount.com/caisse-carton-double-cannelure-25-x-25-x-16-cm-dc301d.html" xr:uid="{00000000-0004-0000-0300-00002C000000}"/>
    <hyperlink ref="L14" r:id="rId46" display="https://www.packdiscount.com/caisse-carton-double-cannelure-30-x-20-x-17-cm-dc304.html" xr:uid="{00000000-0004-0000-0300-00002D000000}"/>
    <hyperlink ref="L15" r:id="rId47" display="https://www.packdiscount.com/caisse-carton-double-cannelure-31-x-22-x-15-cm-dc307b.html" xr:uid="{00000000-0004-0000-0300-00002E000000}"/>
    <hyperlink ref="L16" r:id="rId48" display="https://www.packdiscount.com/caisse-carton-double-cannelure-34-x-21-x-15-5-cm-fa2222.html" xr:uid="{00000000-0004-0000-0300-00002F000000}"/>
    <hyperlink ref="L17" r:id="rId49" display="https://www.packdiscount.com/caisse-carton-double-cannelure-30-x-20-x-20-cm-dc305.html" xr:uid="{00000000-0004-0000-0300-000030000000}"/>
    <hyperlink ref="L29" r:id="rId50" display="https://www.packdiscount.com/caisse-carton-double-cannelure-35-x-23-x-26-cm-dc309.html" xr:uid="{00000000-0004-0000-0300-000031000000}"/>
    <hyperlink ref="L28" r:id="rId51" display="https://www.packdiscount.com/caisse-carton-double-cannelure-31-x-22-x-30-cm-dc307d.html" xr:uid="{00000000-0004-0000-0300-000032000000}"/>
    <hyperlink ref="L25" r:id="rId52" display="https://www.packdiscount.com/caisse-carton-double-cannelure-31-x-22-x-25-cm-dc307c.html" xr:uid="{00000000-0004-0000-0300-000033000000}"/>
    <hyperlink ref="L24" r:id="rId53" display="https://www.packdiscount.com/caisse-carton-cubique-double-cannelure-25-x-25-x-25-cm-dc302.html" xr:uid="{00000000-0004-0000-0300-000034000000}"/>
    <hyperlink ref="L23" r:id="rId54" display="https://www.packdiscount.com/caisse-carton-double-cannelure-36-x-24-x-18-cm-dc313.html" xr:uid="{00000000-0004-0000-0300-000035000000}"/>
    <hyperlink ref="L22" r:id="rId55" display="https://www.packdiscount.com/caisse-carton-double-cannelure-35-x-22-x-20-cm-dc308.html" xr:uid="{00000000-0004-0000-0300-000036000000}"/>
  </hyperlinks>
  <pageMargins left="0.7" right="0.7" top="0.75" bottom="0.75" header="0.3" footer="0.3"/>
  <pageSetup paperSize="9" orientation="portrait" horizontalDpi="0" verticalDpi="0" r:id="rId56"/>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tabColor rgb="FF92D050"/>
  </sheetPr>
  <dimension ref="A1:K106"/>
  <sheetViews>
    <sheetView showGridLines="0" topLeftCell="A73" zoomScale="110" zoomScaleNormal="110" workbookViewId="0">
      <selection activeCell="D24" sqref="D24"/>
    </sheetView>
  </sheetViews>
  <sheetFormatPr baseColWidth="10" defaultColWidth="11.5703125" defaultRowHeight="12.75"/>
  <cols>
    <col min="1" max="1" width="4.85546875" style="77" customWidth="1"/>
    <col min="2" max="2" width="44.7109375" style="76" customWidth="1"/>
    <col min="3" max="3" width="6.28515625" style="77" bestFit="1" customWidth="1"/>
    <col min="4" max="4" width="6.28515625" style="436" customWidth="1"/>
    <col min="5" max="5" width="44.7109375" style="76" customWidth="1"/>
    <col min="6" max="6" width="7" style="77" bestFit="1" customWidth="1"/>
    <col min="7" max="7" width="13.28515625" style="77" bestFit="1" customWidth="1"/>
    <col min="8" max="8" width="6" style="76" customWidth="1"/>
    <col min="9" max="16384" width="11.5703125" style="76"/>
  </cols>
  <sheetData>
    <row r="1" spans="1:11" s="77" customFormat="1">
      <c r="B1" s="77">
        <v>1</v>
      </c>
      <c r="C1" s="77">
        <v>2</v>
      </c>
      <c r="D1" s="77">
        <v>3</v>
      </c>
      <c r="E1" s="77">
        <v>4</v>
      </c>
      <c r="F1" s="77">
        <v>5</v>
      </c>
      <c r="G1" s="77">
        <v>6</v>
      </c>
      <c r="H1" s="77">
        <v>7</v>
      </c>
      <c r="I1" s="77">
        <v>8</v>
      </c>
      <c r="J1" s="77">
        <v>9</v>
      </c>
      <c r="K1" s="77">
        <v>10</v>
      </c>
    </row>
    <row r="2" spans="1:11" s="69" customFormat="1" ht="38.25">
      <c r="B2" s="29" t="s">
        <v>464</v>
      </c>
      <c r="C2" s="170" t="s">
        <v>601</v>
      </c>
      <c r="D2" s="429" t="s">
        <v>660</v>
      </c>
      <c r="E2" s="29" t="s">
        <v>472</v>
      </c>
      <c r="F2" s="29" t="s">
        <v>466</v>
      </c>
      <c r="G2" s="168" t="s">
        <v>388</v>
      </c>
    </row>
    <row r="3" spans="1:11">
      <c r="A3" s="77">
        <v>1</v>
      </c>
      <c r="B3" s="79" t="s">
        <v>12</v>
      </c>
      <c r="C3" s="448" t="s">
        <v>16</v>
      </c>
      <c r="D3" s="430"/>
      <c r="E3" s="171" t="s">
        <v>602</v>
      </c>
      <c r="F3" s="78" t="s">
        <v>467</v>
      </c>
      <c r="G3" s="169">
        <v>71031000</v>
      </c>
      <c r="I3" s="437"/>
      <c r="J3" s="437"/>
    </row>
    <row r="4" spans="1:11">
      <c r="A4" s="77">
        <v>2</v>
      </c>
      <c r="B4" s="79" t="s">
        <v>7</v>
      </c>
      <c r="C4" s="448" t="s">
        <v>16</v>
      </c>
      <c r="D4" s="430"/>
      <c r="E4" s="171" t="s">
        <v>602</v>
      </c>
      <c r="F4" s="78" t="s">
        <v>467</v>
      </c>
      <c r="G4" s="169">
        <v>71031000</v>
      </c>
      <c r="I4" s="437"/>
      <c r="J4" s="437"/>
    </row>
    <row r="5" spans="1:11">
      <c r="A5" s="77">
        <v>3</v>
      </c>
      <c r="B5" s="79" t="s">
        <v>13</v>
      </c>
      <c r="C5" s="448" t="s">
        <v>16</v>
      </c>
      <c r="D5" s="430"/>
      <c r="E5" s="171" t="s">
        <v>602</v>
      </c>
      <c r="F5" s="78" t="s">
        <v>467</v>
      </c>
      <c r="G5" s="169">
        <v>71031000</v>
      </c>
      <c r="I5" s="437"/>
      <c r="J5" s="437"/>
    </row>
    <row r="6" spans="1:11">
      <c r="A6" s="77">
        <v>4</v>
      </c>
      <c r="B6" s="79" t="s">
        <v>9</v>
      </c>
      <c r="C6" s="448" t="s">
        <v>16</v>
      </c>
      <c r="D6" s="430"/>
      <c r="E6" s="171" t="s">
        <v>602</v>
      </c>
      <c r="F6" s="78" t="s">
        <v>467</v>
      </c>
      <c r="G6" s="169">
        <v>71031000</v>
      </c>
    </row>
    <row r="7" spans="1:11">
      <c r="A7" s="77">
        <v>5</v>
      </c>
      <c r="B7" s="79" t="s">
        <v>15</v>
      </c>
      <c r="C7" s="448" t="s">
        <v>16</v>
      </c>
      <c r="D7" s="430"/>
      <c r="E7" s="171" t="s">
        <v>602</v>
      </c>
      <c r="F7" s="78" t="s">
        <v>467</v>
      </c>
      <c r="G7" s="169">
        <v>71031000</v>
      </c>
    </row>
    <row r="8" spans="1:11">
      <c r="A8" s="77">
        <v>6</v>
      </c>
      <c r="B8" s="79" t="s">
        <v>14</v>
      </c>
      <c r="C8" s="448" t="s">
        <v>16</v>
      </c>
      <c r="D8" s="430"/>
      <c r="E8" s="171" t="s">
        <v>602</v>
      </c>
      <c r="F8" s="78" t="s">
        <v>467</v>
      </c>
      <c r="G8" s="169">
        <v>71031000</v>
      </c>
    </row>
    <row r="9" spans="1:11">
      <c r="A9" s="77">
        <v>7</v>
      </c>
      <c r="B9" s="79" t="s">
        <v>11</v>
      </c>
      <c r="C9" s="448" t="s">
        <v>17</v>
      </c>
      <c r="D9" s="431"/>
      <c r="E9" s="171" t="s">
        <v>602</v>
      </c>
      <c r="F9" s="78" t="s">
        <v>467</v>
      </c>
      <c r="G9" s="169">
        <v>71031000</v>
      </c>
    </row>
    <row r="10" spans="1:11">
      <c r="A10" s="77">
        <v>8</v>
      </c>
      <c r="B10" s="80" t="s">
        <v>676</v>
      </c>
      <c r="C10" s="448" t="s">
        <v>17</v>
      </c>
      <c r="D10" s="432"/>
      <c r="E10" s="83" t="s">
        <v>474</v>
      </c>
      <c r="F10" s="78" t="s">
        <v>473</v>
      </c>
      <c r="G10" s="169" t="s">
        <v>480</v>
      </c>
    </row>
    <row r="11" spans="1:11">
      <c r="A11" s="77">
        <v>9</v>
      </c>
      <c r="B11" s="80" t="s">
        <v>678</v>
      </c>
      <c r="C11" s="448" t="s">
        <v>17</v>
      </c>
      <c r="D11" s="432"/>
      <c r="E11" s="83" t="s">
        <v>468</v>
      </c>
      <c r="F11" s="78" t="s">
        <v>473</v>
      </c>
      <c r="G11" s="169" t="s">
        <v>590</v>
      </c>
    </row>
    <row r="12" spans="1:11">
      <c r="A12" s="77">
        <v>10</v>
      </c>
      <c r="B12" s="80" t="s">
        <v>494</v>
      </c>
      <c r="C12" s="448" t="s">
        <v>17</v>
      </c>
      <c r="D12" s="432"/>
      <c r="E12" s="83" t="s">
        <v>469</v>
      </c>
      <c r="F12" s="78" t="s">
        <v>473</v>
      </c>
      <c r="G12" s="169" t="s">
        <v>591</v>
      </c>
    </row>
    <row r="13" spans="1:11">
      <c r="A13" s="77">
        <v>11</v>
      </c>
      <c r="B13" s="81" t="s">
        <v>495</v>
      </c>
      <c r="C13" s="448" t="s">
        <v>17</v>
      </c>
      <c r="D13" s="432"/>
      <c r="E13" s="84" t="s">
        <v>471</v>
      </c>
      <c r="F13" s="78" t="s">
        <v>473</v>
      </c>
      <c r="G13" s="169" t="s">
        <v>592</v>
      </c>
    </row>
    <row r="14" spans="1:11">
      <c r="A14" s="77">
        <v>12</v>
      </c>
      <c r="B14" s="81" t="s">
        <v>677</v>
      </c>
      <c r="C14" s="448" t="s">
        <v>17</v>
      </c>
      <c r="D14" s="433"/>
      <c r="E14" s="82" t="s">
        <v>475</v>
      </c>
      <c r="F14" s="78" t="s">
        <v>473</v>
      </c>
      <c r="G14" s="169" t="s">
        <v>593</v>
      </c>
    </row>
    <row r="15" spans="1:11">
      <c r="A15" s="77">
        <v>13</v>
      </c>
      <c r="B15" s="81" t="s">
        <v>679</v>
      </c>
      <c r="C15" s="448" t="s">
        <v>17</v>
      </c>
      <c r="D15" s="432"/>
      <c r="E15" s="83" t="s">
        <v>470</v>
      </c>
      <c r="F15" s="78" t="s">
        <v>473</v>
      </c>
      <c r="G15" s="169" t="s">
        <v>594</v>
      </c>
    </row>
    <row r="16" spans="1:11">
      <c r="A16" s="77">
        <v>14</v>
      </c>
      <c r="B16" s="81" t="s">
        <v>680</v>
      </c>
      <c r="C16" s="448" t="s">
        <v>17</v>
      </c>
      <c r="D16" s="432"/>
      <c r="E16" s="83" t="s">
        <v>475</v>
      </c>
      <c r="F16" s="78" t="s">
        <v>473</v>
      </c>
      <c r="G16" s="169" t="s">
        <v>595</v>
      </c>
    </row>
    <row r="17" spans="1:7">
      <c r="A17" s="77">
        <v>15</v>
      </c>
      <c r="B17" s="81" t="s">
        <v>681</v>
      </c>
      <c r="C17" s="448" t="s">
        <v>17</v>
      </c>
      <c r="D17" s="432"/>
      <c r="E17" s="83" t="s">
        <v>470</v>
      </c>
      <c r="F17" s="78" t="s">
        <v>473</v>
      </c>
      <c r="G17" s="169" t="s">
        <v>596</v>
      </c>
    </row>
    <row r="18" spans="1:7">
      <c r="A18" s="77">
        <v>16</v>
      </c>
      <c r="B18" s="81" t="s">
        <v>682</v>
      </c>
      <c r="C18" s="448" t="s">
        <v>17</v>
      </c>
      <c r="D18" s="432"/>
      <c r="E18" s="83" t="s">
        <v>475</v>
      </c>
      <c r="F18" s="78" t="s">
        <v>473</v>
      </c>
      <c r="G18" s="169" t="s">
        <v>597</v>
      </c>
    </row>
    <row r="19" spans="1:7">
      <c r="A19" s="77">
        <v>17</v>
      </c>
      <c r="B19" s="81" t="s">
        <v>683</v>
      </c>
      <c r="C19" s="448" t="s">
        <v>17</v>
      </c>
      <c r="D19" s="432"/>
      <c r="E19" s="83" t="s">
        <v>470</v>
      </c>
      <c r="F19" s="78" t="s">
        <v>473</v>
      </c>
      <c r="G19" s="169" t="s">
        <v>598</v>
      </c>
    </row>
    <row r="20" spans="1:7">
      <c r="A20" s="77">
        <v>18</v>
      </c>
      <c r="B20" s="81" t="s">
        <v>684</v>
      </c>
      <c r="C20" s="448" t="s">
        <v>17</v>
      </c>
      <c r="D20" s="432"/>
      <c r="E20" s="83" t="s">
        <v>475</v>
      </c>
      <c r="F20" s="78" t="s">
        <v>473</v>
      </c>
      <c r="G20" s="169" t="s">
        <v>599</v>
      </c>
    </row>
    <row r="21" spans="1:7">
      <c r="A21" s="77">
        <v>19</v>
      </c>
      <c r="B21" s="81" t="s">
        <v>685</v>
      </c>
      <c r="C21" s="448" t="s">
        <v>17</v>
      </c>
      <c r="D21" s="432"/>
      <c r="E21" s="83" t="s">
        <v>470</v>
      </c>
      <c r="F21" s="78" t="s">
        <v>473</v>
      </c>
      <c r="G21" s="169" t="s">
        <v>600</v>
      </c>
    </row>
    <row r="22" spans="1:7">
      <c r="A22" s="77">
        <v>20</v>
      </c>
      <c r="B22" s="166" t="s">
        <v>576</v>
      </c>
      <c r="C22" s="448" t="s">
        <v>567</v>
      </c>
      <c r="D22" s="432">
        <v>0.35</v>
      </c>
      <c r="E22" s="79"/>
      <c r="F22" s="188" t="s">
        <v>658</v>
      </c>
      <c r="G22" s="169"/>
    </row>
    <row r="23" spans="1:7">
      <c r="A23" s="77">
        <v>21</v>
      </c>
      <c r="B23" s="166" t="s">
        <v>577</v>
      </c>
      <c r="C23" s="448" t="s">
        <v>567</v>
      </c>
      <c r="D23" s="432">
        <v>0.35</v>
      </c>
      <c r="E23" s="79"/>
      <c r="F23" s="188" t="s">
        <v>658</v>
      </c>
      <c r="G23" s="169"/>
    </row>
    <row r="24" spans="1:7">
      <c r="A24" s="77">
        <v>22</v>
      </c>
      <c r="B24" s="181" t="s">
        <v>633</v>
      </c>
      <c r="C24" s="448" t="s">
        <v>567</v>
      </c>
      <c r="D24" s="432"/>
      <c r="E24" s="79"/>
      <c r="F24" s="188" t="s">
        <v>659</v>
      </c>
      <c r="G24" s="169"/>
    </row>
    <row r="25" spans="1:7">
      <c r="A25" s="77">
        <v>23</v>
      </c>
      <c r="B25" s="181" t="s">
        <v>632</v>
      </c>
      <c r="C25" s="448" t="s">
        <v>567</v>
      </c>
      <c r="D25" s="432"/>
      <c r="E25" s="79"/>
      <c r="F25" s="78"/>
      <c r="G25" s="169"/>
    </row>
    <row r="26" spans="1:7">
      <c r="A26" s="77">
        <v>24</v>
      </c>
      <c r="B26" s="181" t="s">
        <v>642</v>
      </c>
      <c r="C26" s="448" t="s">
        <v>567</v>
      </c>
      <c r="D26" s="432"/>
      <c r="E26" s="180"/>
      <c r="F26" s="78"/>
      <c r="G26" s="169"/>
    </row>
    <row r="27" spans="1:7">
      <c r="A27" s="77">
        <v>25</v>
      </c>
      <c r="B27" s="181" t="s">
        <v>655</v>
      </c>
      <c r="C27" s="448" t="s">
        <v>567</v>
      </c>
      <c r="D27" s="432"/>
      <c r="E27" s="180"/>
      <c r="F27" s="78"/>
      <c r="G27" s="169"/>
    </row>
    <row r="28" spans="1:7">
      <c r="A28" s="77">
        <v>26</v>
      </c>
      <c r="B28" s="181" t="s">
        <v>634</v>
      </c>
      <c r="C28" s="448" t="s">
        <v>567</v>
      </c>
      <c r="D28" s="432"/>
      <c r="E28" s="83"/>
      <c r="F28" s="78"/>
      <c r="G28" s="169"/>
    </row>
    <row r="29" spans="1:7">
      <c r="A29" s="77">
        <v>27</v>
      </c>
      <c r="B29" s="181" t="s">
        <v>656</v>
      </c>
      <c r="C29" s="448" t="s">
        <v>567</v>
      </c>
      <c r="D29" s="432"/>
      <c r="E29" s="83"/>
      <c r="F29" s="78"/>
      <c r="G29" s="169"/>
    </row>
    <row r="30" spans="1:7">
      <c r="A30" s="77">
        <v>28</v>
      </c>
      <c r="B30" s="181" t="s">
        <v>657</v>
      </c>
      <c r="C30" s="448" t="s">
        <v>567</v>
      </c>
      <c r="D30" s="432"/>
      <c r="E30" s="83"/>
      <c r="F30" s="78"/>
      <c r="G30" s="169"/>
    </row>
    <row r="31" spans="1:7">
      <c r="A31" s="77">
        <v>29</v>
      </c>
      <c r="B31" s="181" t="s">
        <v>638</v>
      </c>
      <c r="C31" s="448" t="s">
        <v>567</v>
      </c>
      <c r="D31" s="432"/>
      <c r="E31" s="83"/>
      <c r="F31" s="78"/>
      <c r="G31" s="169"/>
    </row>
    <row r="32" spans="1:7">
      <c r="A32" s="77">
        <v>30</v>
      </c>
      <c r="B32" s="181" t="s">
        <v>635</v>
      </c>
      <c r="C32" s="448" t="s">
        <v>567</v>
      </c>
      <c r="D32" s="432"/>
      <c r="E32" s="83"/>
      <c r="F32" s="78"/>
      <c r="G32" s="169"/>
    </row>
    <row r="33" spans="1:7">
      <c r="A33" s="77">
        <v>31</v>
      </c>
      <c r="B33" s="181" t="s">
        <v>639</v>
      </c>
      <c r="C33" s="448" t="s">
        <v>567</v>
      </c>
      <c r="D33" s="432"/>
      <c r="E33" s="83"/>
      <c r="F33" s="78"/>
      <c r="G33" s="169"/>
    </row>
    <row r="34" spans="1:7">
      <c r="A34" s="77">
        <v>32</v>
      </c>
      <c r="B34" s="181" t="s">
        <v>640</v>
      </c>
      <c r="C34" s="448" t="s">
        <v>567</v>
      </c>
      <c r="D34" s="432"/>
      <c r="E34" s="83"/>
      <c r="F34" s="78"/>
      <c r="G34" s="169"/>
    </row>
    <row r="35" spans="1:7">
      <c r="A35" s="77">
        <v>33</v>
      </c>
      <c r="B35" s="181" t="s">
        <v>387</v>
      </c>
      <c r="C35" s="448" t="s">
        <v>567</v>
      </c>
      <c r="D35" s="432"/>
      <c r="E35" s="83"/>
      <c r="F35" s="78"/>
      <c r="G35" s="169"/>
    </row>
    <row r="36" spans="1:7">
      <c r="A36" s="77">
        <v>34</v>
      </c>
      <c r="B36" s="181" t="s">
        <v>641</v>
      </c>
      <c r="C36" s="448" t="s">
        <v>567</v>
      </c>
      <c r="D36" s="432"/>
      <c r="E36" s="83"/>
      <c r="F36" s="78"/>
      <c r="G36" s="169"/>
    </row>
    <row r="37" spans="1:7">
      <c r="A37" s="77">
        <v>35</v>
      </c>
      <c r="B37" s="181" t="s">
        <v>643</v>
      </c>
      <c r="C37" s="448" t="s">
        <v>567</v>
      </c>
      <c r="D37" s="432"/>
      <c r="E37" s="83"/>
      <c r="F37" s="78"/>
      <c r="G37" s="169"/>
    </row>
    <row r="38" spans="1:7">
      <c r="A38" s="77">
        <v>36</v>
      </c>
      <c r="B38" s="181" t="s">
        <v>636</v>
      </c>
      <c r="C38" s="448" t="s">
        <v>567</v>
      </c>
      <c r="D38" s="432"/>
      <c r="E38" s="83"/>
      <c r="F38" s="78"/>
      <c r="G38" s="169"/>
    </row>
    <row r="39" spans="1:7">
      <c r="A39" s="77">
        <v>37</v>
      </c>
      <c r="B39" s="181" t="s">
        <v>637</v>
      </c>
      <c r="C39" s="448" t="s">
        <v>567</v>
      </c>
      <c r="D39" s="432"/>
      <c r="E39" s="83"/>
      <c r="F39" s="78"/>
      <c r="G39" s="169"/>
    </row>
    <row r="40" spans="1:7">
      <c r="A40" s="77">
        <v>38</v>
      </c>
      <c r="B40" s="181" t="s">
        <v>633</v>
      </c>
      <c r="C40" s="448" t="s">
        <v>567</v>
      </c>
      <c r="D40" s="432"/>
      <c r="E40" s="83"/>
      <c r="F40" s="78"/>
      <c r="G40" s="169"/>
    </row>
    <row r="41" spans="1:7">
      <c r="A41" s="77">
        <v>39</v>
      </c>
      <c r="B41" s="181" t="s">
        <v>633</v>
      </c>
      <c r="C41" s="448" t="s">
        <v>567</v>
      </c>
      <c r="D41" s="432"/>
      <c r="E41" s="83"/>
      <c r="F41" s="78"/>
      <c r="G41" s="169"/>
    </row>
    <row r="42" spans="1:7">
      <c r="A42" s="77">
        <v>40</v>
      </c>
      <c r="B42" s="181" t="s">
        <v>633</v>
      </c>
      <c r="C42" s="448" t="s">
        <v>567</v>
      </c>
      <c r="D42" s="432"/>
      <c r="E42" s="83"/>
      <c r="F42" s="78"/>
      <c r="G42" s="169"/>
    </row>
    <row r="43" spans="1:7">
      <c r="A43" s="77">
        <v>41</v>
      </c>
      <c r="B43" s="181" t="s">
        <v>633</v>
      </c>
      <c r="C43" s="448" t="s">
        <v>567</v>
      </c>
      <c r="D43" s="432"/>
      <c r="E43" s="83"/>
      <c r="F43" s="78"/>
      <c r="G43" s="169"/>
    </row>
    <row r="44" spans="1:7">
      <c r="A44" s="77">
        <v>42</v>
      </c>
      <c r="B44" s="181" t="s">
        <v>633</v>
      </c>
      <c r="C44" s="448" t="s">
        <v>567</v>
      </c>
      <c r="D44" s="432"/>
      <c r="E44" s="83"/>
      <c r="F44" s="78"/>
      <c r="G44" s="169"/>
    </row>
    <row r="45" spans="1:7">
      <c r="A45" s="77">
        <v>43</v>
      </c>
      <c r="B45" s="181" t="s">
        <v>633</v>
      </c>
      <c r="C45" s="448" t="s">
        <v>567</v>
      </c>
      <c r="D45" s="432"/>
      <c r="E45" s="83"/>
      <c r="F45" s="78"/>
      <c r="G45" s="169"/>
    </row>
    <row r="46" spans="1:7">
      <c r="A46" s="77">
        <v>44</v>
      </c>
      <c r="B46" s="181" t="s">
        <v>633</v>
      </c>
      <c r="C46" s="448" t="s">
        <v>567</v>
      </c>
      <c r="D46" s="432"/>
      <c r="E46" s="83"/>
      <c r="F46" s="78"/>
      <c r="G46" s="169"/>
    </row>
    <row r="47" spans="1:7">
      <c r="A47" s="77">
        <v>45</v>
      </c>
      <c r="B47" s="181" t="s">
        <v>633</v>
      </c>
      <c r="C47" s="448" t="s">
        <v>567</v>
      </c>
      <c r="D47" s="432"/>
      <c r="E47" s="83"/>
      <c r="F47" s="78"/>
      <c r="G47" s="169"/>
    </row>
    <row r="48" spans="1:7">
      <c r="A48" s="77">
        <v>46</v>
      </c>
      <c r="B48" s="181" t="s">
        <v>633</v>
      </c>
      <c r="C48" s="448" t="s">
        <v>567</v>
      </c>
      <c r="D48" s="432"/>
      <c r="E48" s="83"/>
      <c r="F48" s="78"/>
      <c r="G48" s="169"/>
    </row>
    <row r="49" spans="1:7">
      <c r="A49" s="77">
        <v>47</v>
      </c>
      <c r="B49" s="181" t="s">
        <v>633</v>
      </c>
      <c r="C49" s="448" t="s">
        <v>567</v>
      </c>
      <c r="D49" s="432"/>
      <c r="E49" s="83"/>
      <c r="F49" s="78"/>
      <c r="G49" s="169"/>
    </row>
    <row r="50" spans="1:7">
      <c r="A50" s="77">
        <v>48</v>
      </c>
      <c r="B50" s="181" t="s">
        <v>633</v>
      </c>
      <c r="C50" s="448" t="s">
        <v>567</v>
      </c>
      <c r="D50" s="432"/>
      <c r="E50" s="83"/>
      <c r="F50" s="78"/>
      <c r="G50" s="169"/>
    </row>
    <row r="51" spans="1:7">
      <c r="A51" s="77">
        <v>49</v>
      </c>
      <c r="B51" s="181" t="s">
        <v>633</v>
      </c>
      <c r="C51" s="448" t="s">
        <v>567</v>
      </c>
      <c r="D51" s="432"/>
      <c r="E51" s="83"/>
      <c r="F51" s="78"/>
      <c r="G51" s="169"/>
    </row>
    <row r="52" spans="1:7">
      <c r="A52" s="77">
        <v>50</v>
      </c>
      <c r="B52" s="181" t="s">
        <v>633</v>
      </c>
      <c r="C52" s="448" t="s">
        <v>567</v>
      </c>
      <c r="D52" s="432"/>
      <c r="E52" s="83"/>
      <c r="F52" s="78"/>
      <c r="G52" s="169"/>
    </row>
    <row r="53" spans="1:7">
      <c r="A53" s="77">
        <v>51</v>
      </c>
      <c r="B53" s="181" t="s">
        <v>633</v>
      </c>
      <c r="C53" s="448" t="s">
        <v>567</v>
      </c>
      <c r="D53" s="432"/>
      <c r="E53" s="83"/>
      <c r="F53" s="78"/>
      <c r="G53" s="169"/>
    </row>
    <row r="54" spans="1:7">
      <c r="A54" s="77">
        <v>52</v>
      </c>
      <c r="B54" s="181" t="s">
        <v>633</v>
      </c>
      <c r="C54" s="448" t="s">
        <v>567</v>
      </c>
      <c r="D54" s="432"/>
      <c r="E54" s="83"/>
      <c r="F54" s="78"/>
      <c r="G54" s="169"/>
    </row>
    <row r="55" spans="1:7">
      <c r="A55" s="77">
        <v>53</v>
      </c>
      <c r="B55" s="181" t="s">
        <v>633</v>
      </c>
      <c r="C55" s="448" t="s">
        <v>567</v>
      </c>
      <c r="D55" s="432"/>
      <c r="E55" s="83"/>
      <c r="F55" s="78"/>
      <c r="G55" s="169"/>
    </row>
    <row r="56" spans="1:7">
      <c r="A56" s="77">
        <v>54</v>
      </c>
      <c r="B56" s="181" t="s">
        <v>633</v>
      </c>
      <c r="C56" s="448" t="s">
        <v>567</v>
      </c>
      <c r="D56" s="432"/>
      <c r="E56" s="83"/>
      <c r="F56" s="78"/>
      <c r="G56" s="169"/>
    </row>
    <row r="57" spans="1:7">
      <c r="A57" s="77">
        <v>55</v>
      </c>
      <c r="B57" s="181" t="s">
        <v>633</v>
      </c>
      <c r="C57" s="448" t="s">
        <v>567</v>
      </c>
      <c r="D57" s="432"/>
      <c r="E57" s="83"/>
      <c r="F57" s="78"/>
      <c r="G57" s="169"/>
    </row>
    <row r="58" spans="1:7">
      <c r="A58" s="77">
        <v>56</v>
      </c>
      <c r="B58" s="181" t="s">
        <v>633</v>
      </c>
      <c r="C58" s="448" t="s">
        <v>567</v>
      </c>
      <c r="D58" s="432"/>
      <c r="E58" s="83"/>
      <c r="F58" s="78"/>
      <c r="G58" s="169"/>
    </row>
    <row r="59" spans="1:7">
      <c r="A59" s="77">
        <v>57</v>
      </c>
      <c r="B59" s="181" t="s">
        <v>633</v>
      </c>
      <c r="C59" s="448" t="s">
        <v>567</v>
      </c>
      <c r="D59" s="432"/>
      <c r="E59" s="83"/>
      <c r="F59" s="78"/>
      <c r="G59" s="169"/>
    </row>
    <row r="60" spans="1:7">
      <c r="A60" s="77">
        <v>58</v>
      </c>
      <c r="B60" s="181" t="s">
        <v>633</v>
      </c>
      <c r="C60" s="448" t="s">
        <v>567</v>
      </c>
      <c r="D60" s="432"/>
      <c r="E60" s="83"/>
      <c r="F60" s="78"/>
      <c r="G60" s="169"/>
    </row>
    <row r="61" spans="1:7">
      <c r="A61" s="77">
        <v>59</v>
      </c>
      <c r="B61" s="181" t="s">
        <v>633</v>
      </c>
      <c r="C61" s="448" t="s">
        <v>567</v>
      </c>
      <c r="D61" s="432"/>
      <c r="E61" s="83"/>
      <c r="F61" s="78"/>
      <c r="G61" s="169"/>
    </row>
    <row r="62" spans="1:7">
      <c r="A62" s="77">
        <v>60</v>
      </c>
      <c r="B62" s="181" t="s">
        <v>633</v>
      </c>
      <c r="C62" s="448" t="s">
        <v>567</v>
      </c>
      <c r="D62" s="432"/>
      <c r="E62" s="83"/>
      <c r="F62" s="78"/>
      <c r="G62" s="169"/>
    </row>
    <row r="63" spans="1:7">
      <c r="A63" s="77">
        <v>61</v>
      </c>
      <c r="B63" s="181" t="s">
        <v>633</v>
      </c>
      <c r="C63" s="448" t="s">
        <v>567</v>
      </c>
      <c r="D63" s="432"/>
      <c r="E63" s="83"/>
      <c r="F63" s="78"/>
      <c r="G63" s="169"/>
    </row>
    <row r="64" spans="1:7">
      <c r="A64" s="77">
        <v>62</v>
      </c>
      <c r="B64" s="181" t="s">
        <v>633</v>
      </c>
      <c r="C64" s="448" t="s">
        <v>567</v>
      </c>
      <c r="D64" s="432"/>
      <c r="E64" s="83"/>
      <c r="F64" s="78"/>
      <c r="G64" s="169"/>
    </row>
    <row r="65" spans="1:7">
      <c r="A65" s="77">
        <v>63</v>
      </c>
      <c r="B65" s="181" t="s">
        <v>633</v>
      </c>
      <c r="C65" s="448" t="s">
        <v>567</v>
      </c>
      <c r="D65" s="432"/>
      <c r="E65" s="83"/>
      <c r="F65" s="78"/>
      <c r="G65" s="169"/>
    </row>
    <row r="66" spans="1:7">
      <c r="A66" s="77">
        <v>64</v>
      </c>
      <c r="B66" s="181" t="s">
        <v>633</v>
      </c>
      <c r="C66" s="448" t="s">
        <v>567</v>
      </c>
      <c r="D66" s="432"/>
      <c r="E66" s="83"/>
      <c r="F66" s="78"/>
      <c r="G66" s="169"/>
    </row>
    <row r="67" spans="1:7">
      <c r="A67" s="77">
        <v>65</v>
      </c>
      <c r="B67" s="181" t="s">
        <v>633</v>
      </c>
      <c r="C67" s="448" t="s">
        <v>567</v>
      </c>
      <c r="D67" s="432"/>
      <c r="E67" s="83"/>
      <c r="F67" s="78"/>
      <c r="G67" s="169"/>
    </row>
    <row r="68" spans="1:7">
      <c r="A68" s="77">
        <v>66</v>
      </c>
      <c r="B68" s="181" t="s">
        <v>633</v>
      </c>
      <c r="C68" s="448" t="s">
        <v>567</v>
      </c>
      <c r="D68" s="432"/>
      <c r="E68" s="83"/>
      <c r="F68" s="78"/>
      <c r="G68" s="169"/>
    </row>
    <row r="69" spans="1:7">
      <c r="A69" s="77">
        <v>67</v>
      </c>
      <c r="B69" s="181" t="s">
        <v>633</v>
      </c>
      <c r="C69" s="448" t="s">
        <v>567</v>
      </c>
      <c r="D69" s="432"/>
      <c r="E69" s="83"/>
      <c r="F69" s="78"/>
      <c r="G69" s="169"/>
    </row>
    <row r="70" spans="1:7">
      <c r="A70" s="77">
        <v>68</v>
      </c>
      <c r="B70" s="181" t="s">
        <v>633</v>
      </c>
      <c r="C70" s="448" t="s">
        <v>567</v>
      </c>
      <c r="D70" s="432"/>
      <c r="E70" s="83"/>
      <c r="F70" s="78"/>
      <c r="G70" s="169"/>
    </row>
    <row r="71" spans="1:7">
      <c r="A71" s="77">
        <v>69</v>
      </c>
      <c r="B71" s="181" t="s">
        <v>633</v>
      </c>
      <c r="C71" s="448" t="s">
        <v>567</v>
      </c>
      <c r="D71" s="432"/>
      <c r="E71" s="83"/>
      <c r="F71" s="78"/>
      <c r="G71" s="169"/>
    </row>
    <row r="72" spans="1:7">
      <c r="A72" s="77">
        <v>70</v>
      </c>
      <c r="B72" s="181" t="s">
        <v>633</v>
      </c>
      <c r="C72" s="448" t="s">
        <v>567</v>
      </c>
      <c r="D72" s="432"/>
      <c r="E72" s="83"/>
      <c r="F72" s="78"/>
      <c r="G72" s="169"/>
    </row>
    <row r="73" spans="1:7">
      <c r="A73" s="77">
        <v>71</v>
      </c>
      <c r="B73" s="181" t="s">
        <v>633</v>
      </c>
      <c r="C73" s="448" t="s">
        <v>567</v>
      </c>
      <c r="D73" s="432"/>
      <c r="E73" s="83"/>
      <c r="F73" s="78"/>
      <c r="G73" s="169"/>
    </row>
    <row r="74" spans="1:7">
      <c r="A74" s="77">
        <v>72</v>
      </c>
      <c r="B74" s="181" t="s">
        <v>633</v>
      </c>
      <c r="C74" s="448" t="s">
        <v>567</v>
      </c>
      <c r="D74" s="432"/>
      <c r="E74" s="83"/>
      <c r="F74" s="78"/>
      <c r="G74" s="169"/>
    </row>
    <row r="75" spans="1:7">
      <c r="A75" s="77">
        <v>73</v>
      </c>
      <c r="B75" s="181" t="s">
        <v>633</v>
      </c>
      <c r="C75" s="448" t="s">
        <v>567</v>
      </c>
      <c r="D75" s="432"/>
      <c r="E75" s="83"/>
      <c r="F75" s="78"/>
      <c r="G75" s="169"/>
    </row>
    <row r="76" spans="1:7">
      <c r="A76" s="77">
        <v>74</v>
      </c>
      <c r="B76" s="181" t="s">
        <v>633</v>
      </c>
      <c r="C76" s="448" t="s">
        <v>567</v>
      </c>
      <c r="D76" s="432"/>
      <c r="E76" s="83"/>
      <c r="F76" s="78"/>
      <c r="G76" s="169"/>
    </row>
    <row r="77" spans="1:7">
      <c r="A77" s="77">
        <v>75</v>
      </c>
      <c r="B77" s="181" t="s">
        <v>633</v>
      </c>
      <c r="C77" s="448"/>
      <c r="D77" s="434"/>
      <c r="E77" s="83"/>
      <c r="F77" s="78"/>
      <c r="G77" s="169"/>
    </row>
    <row r="78" spans="1:7">
      <c r="A78" s="77">
        <v>76</v>
      </c>
      <c r="B78" s="181" t="s">
        <v>633</v>
      </c>
      <c r="C78" s="448"/>
      <c r="D78" s="434"/>
      <c r="E78" s="83"/>
      <c r="F78" s="78"/>
      <c r="G78" s="169"/>
    </row>
    <row r="79" spans="1:7">
      <c r="A79" s="77">
        <v>77</v>
      </c>
      <c r="B79" s="181" t="s">
        <v>633</v>
      </c>
      <c r="C79" s="448"/>
      <c r="D79" s="434"/>
      <c r="E79" s="83"/>
      <c r="F79" s="78"/>
      <c r="G79" s="169"/>
    </row>
    <row r="80" spans="1:7">
      <c r="A80" s="77">
        <v>78</v>
      </c>
      <c r="B80" s="181" t="s">
        <v>633</v>
      </c>
      <c r="C80" s="448"/>
      <c r="D80" s="434"/>
      <c r="E80" s="83"/>
      <c r="F80" s="78"/>
      <c r="G80" s="169"/>
    </row>
    <row r="81" spans="1:7">
      <c r="A81" s="77">
        <v>79</v>
      </c>
      <c r="B81" s="181" t="s">
        <v>633</v>
      </c>
      <c r="C81" s="448"/>
      <c r="D81" s="434"/>
      <c r="E81" s="83"/>
      <c r="F81" s="78"/>
      <c r="G81" s="169"/>
    </row>
    <row r="82" spans="1:7">
      <c r="A82" s="77">
        <v>80</v>
      </c>
      <c r="B82" s="181" t="s">
        <v>633</v>
      </c>
      <c r="C82" s="448"/>
      <c r="D82" s="434"/>
      <c r="E82" s="83"/>
      <c r="F82" s="78"/>
      <c r="G82" s="169"/>
    </row>
    <row r="83" spans="1:7">
      <c r="A83" s="77">
        <v>81</v>
      </c>
      <c r="B83" s="181" t="s">
        <v>633</v>
      </c>
      <c r="C83" s="448"/>
      <c r="D83" s="434"/>
      <c r="E83" s="83"/>
      <c r="F83" s="78"/>
      <c r="G83" s="169"/>
    </row>
    <row r="84" spans="1:7">
      <c r="A84" s="77">
        <v>82</v>
      </c>
      <c r="B84" s="181" t="s">
        <v>633</v>
      </c>
      <c r="C84" s="448"/>
      <c r="D84" s="434"/>
      <c r="E84" s="83"/>
      <c r="F84" s="78"/>
      <c r="G84" s="169"/>
    </row>
    <row r="85" spans="1:7">
      <c r="A85" s="77">
        <v>83</v>
      </c>
      <c r="B85" s="181" t="s">
        <v>633</v>
      </c>
      <c r="C85" s="448"/>
      <c r="D85" s="434"/>
      <c r="E85" s="83"/>
      <c r="F85" s="78"/>
      <c r="G85" s="169"/>
    </row>
    <row r="86" spans="1:7">
      <c r="A86" s="77">
        <v>84</v>
      </c>
      <c r="B86" s="181" t="s">
        <v>633</v>
      </c>
      <c r="C86" s="448"/>
      <c r="D86" s="434"/>
      <c r="E86" s="83"/>
      <c r="F86" s="78"/>
      <c r="G86" s="169"/>
    </row>
    <row r="87" spans="1:7">
      <c r="A87" s="77">
        <v>85</v>
      </c>
      <c r="B87" s="181" t="s">
        <v>633</v>
      </c>
      <c r="C87" s="448"/>
      <c r="D87" s="434"/>
      <c r="E87" s="83"/>
      <c r="F87" s="78"/>
      <c r="G87" s="169"/>
    </row>
    <row r="88" spans="1:7">
      <c r="A88" s="77">
        <v>86</v>
      </c>
      <c r="B88" s="181" t="s">
        <v>633</v>
      </c>
      <c r="C88" s="448"/>
      <c r="D88" s="434"/>
      <c r="E88" s="83"/>
      <c r="F88" s="78"/>
      <c r="G88" s="169"/>
    </row>
    <row r="89" spans="1:7">
      <c r="A89" s="77">
        <v>87</v>
      </c>
      <c r="B89" s="181" t="s">
        <v>633</v>
      </c>
      <c r="C89" s="448"/>
      <c r="D89" s="434"/>
      <c r="E89" s="83"/>
      <c r="F89" s="78"/>
      <c r="G89" s="169"/>
    </row>
    <row r="90" spans="1:7">
      <c r="A90" s="77">
        <v>88</v>
      </c>
      <c r="B90" s="181" t="s">
        <v>633</v>
      </c>
      <c r="C90" s="448"/>
      <c r="D90" s="434"/>
      <c r="E90" s="83"/>
      <c r="F90" s="78"/>
      <c r="G90" s="169"/>
    </row>
    <row r="91" spans="1:7">
      <c r="A91" s="77">
        <v>89</v>
      </c>
      <c r="B91" s="181" t="s">
        <v>633</v>
      </c>
      <c r="C91" s="448"/>
      <c r="D91" s="434"/>
      <c r="E91" s="83"/>
      <c r="F91" s="78"/>
      <c r="G91" s="169"/>
    </row>
    <row r="92" spans="1:7">
      <c r="A92" s="77">
        <v>90</v>
      </c>
      <c r="B92" s="181" t="s">
        <v>633</v>
      </c>
      <c r="C92" s="448"/>
      <c r="D92" s="434"/>
      <c r="E92" s="83"/>
      <c r="F92" s="78"/>
      <c r="G92" s="169"/>
    </row>
    <row r="93" spans="1:7">
      <c r="A93" s="77">
        <v>91</v>
      </c>
      <c r="B93" s="181" t="s">
        <v>633</v>
      </c>
      <c r="C93" s="448"/>
      <c r="D93" s="434"/>
      <c r="E93" s="83"/>
      <c r="F93" s="78"/>
      <c r="G93" s="169"/>
    </row>
    <row r="94" spans="1:7">
      <c r="A94" s="77">
        <v>92</v>
      </c>
      <c r="B94" s="181" t="s">
        <v>633</v>
      </c>
      <c r="C94" s="448"/>
      <c r="D94" s="434"/>
      <c r="E94" s="83"/>
      <c r="F94" s="78"/>
      <c r="G94" s="169"/>
    </row>
    <row r="95" spans="1:7">
      <c r="A95" s="77">
        <v>93</v>
      </c>
      <c r="B95" s="181" t="s">
        <v>633</v>
      </c>
      <c r="C95" s="448"/>
      <c r="D95" s="434"/>
      <c r="E95" s="83"/>
      <c r="F95" s="78"/>
      <c r="G95" s="169"/>
    </row>
    <row r="96" spans="1:7">
      <c r="A96" s="77">
        <v>94</v>
      </c>
      <c r="B96" s="181" t="s">
        <v>633</v>
      </c>
      <c r="C96" s="448"/>
      <c r="D96" s="434"/>
      <c r="E96" s="83"/>
      <c r="F96" s="78"/>
      <c r="G96" s="169"/>
    </row>
    <row r="97" spans="1:7">
      <c r="A97" s="77">
        <v>95</v>
      </c>
      <c r="B97" s="181" t="s">
        <v>633</v>
      </c>
      <c r="C97" s="448"/>
      <c r="D97" s="434"/>
      <c r="E97" s="83"/>
      <c r="F97" s="78"/>
      <c r="G97" s="169"/>
    </row>
    <row r="98" spans="1:7">
      <c r="A98" s="77">
        <v>96</v>
      </c>
      <c r="B98" s="181" t="s">
        <v>633</v>
      </c>
      <c r="C98" s="448"/>
      <c r="D98" s="434"/>
      <c r="E98" s="83"/>
      <c r="F98" s="78"/>
      <c r="G98" s="169"/>
    </row>
    <row r="99" spans="1:7">
      <c r="A99" s="77">
        <v>97</v>
      </c>
      <c r="B99" s="181" t="s">
        <v>633</v>
      </c>
      <c r="C99" s="448"/>
      <c r="D99" s="434"/>
      <c r="E99" s="83"/>
      <c r="F99" s="78"/>
      <c r="G99" s="169"/>
    </row>
    <row r="100" spans="1:7">
      <c r="A100" s="77">
        <v>98</v>
      </c>
      <c r="B100" s="181" t="s">
        <v>633</v>
      </c>
      <c r="C100" s="448"/>
      <c r="D100" s="434"/>
      <c r="E100" s="83"/>
      <c r="F100" s="78"/>
      <c r="G100" s="169"/>
    </row>
    <row r="101" spans="1:7">
      <c r="A101" s="77">
        <v>99</v>
      </c>
      <c r="B101" s="181" t="s">
        <v>633</v>
      </c>
      <c r="C101" s="448"/>
      <c r="D101" s="434"/>
      <c r="E101" s="83"/>
      <c r="F101" s="78"/>
      <c r="G101" s="169"/>
    </row>
    <row r="102" spans="1:7">
      <c r="A102" s="77">
        <v>100</v>
      </c>
      <c r="B102" s="181" t="s">
        <v>633</v>
      </c>
      <c r="C102" s="448"/>
      <c r="D102" s="434"/>
      <c r="E102" s="83"/>
      <c r="F102" s="78"/>
      <c r="G102" s="169"/>
    </row>
    <row r="106" spans="1:7">
      <c r="B106" s="98"/>
      <c r="C106" s="167"/>
      <c r="D106" s="435"/>
    </row>
  </sheetData>
  <sortState ref="B3:F26">
    <sortCondition ref="F3:F26"/>
    <sortCondition ref="B3:B26"/>
  </sortState>
  <dataValidations count="1">
    <dataValidation type="list" allowBlank="1" showInputMessage="1" showErrorMessage="1" sqref="G3:G102" xr:uid="{00000000-0002-0000-0400-000000000000}">
      <formula1>Customs_Nomenclature</formula1>
    </dataValidation>
  </dataValidation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tabColor rgb="FF92D050"/>
  </sheetPr>
  <dimension ref="B2:L82"/>
  <sheetViews>
    <sheetView showGridLines="0" workbookViewId="0">
      <selection activeCell="F31" sqref="F31"/>
    </sheetView>
  </sheetViews>
  <sheetFormatPr baseColWidth="10" defaultColWidth="11.5703125" defaultRowHeight="12.75"/>
  <cols>
    <col min="1" max="1" width="3" style="91" customWidth="1"/>
    <col min="2" max="2" width="11.5703125" style="60"/>
    <col min="3" max="5" width="30.85546875" style="91" customWidth="1"/>
    <col min="6" max="6" width="30.85546875" style="62" customWidth="1"/>
    <col min="7" max="9" width="30.85546875" style="91" customWidth="1"/>
    <col min="10" max="11" width="13.7109375" style="95" customWidth="1"/>
    <col min="12" max="12" width="30.85546875" style="91" customWidth="1"/>
    <col min="13" max="16384" width="11.5703125" style="91"/>
  </cols>
  <sheetData>
    <row r="2" spans="2:12">
      <c r="B2" s="106" t="s">
        <v>524</v>
      </c>
      <c r="C2" s="106" t="s">
        <v>525</v>
      </c>
      <c r="D2" s="106" t="s">
        <v>526</v>
      </c>
      <c r="E2" s="106" t="s">
        <v>527</v>
      </c>
      <c r="F2" s="106" t="s">
        <v>528</v>
      </c>
      <c r="G2" s="106" t="s">
        <v>529</v>
      </c>
      <c r="H2" s="106" t="s">
        <v>530</v>
      </c>
      <c r="I2" s="106" t="s">
        <v>531</v>
      </c>
      <c r="J2" s="106" t="s">
        <v>532</v>
      </c>
      <c r="K2" s="106" t="s">
        <v>421</v>
      </c>
      <c r="L2" s="106" t="s">
        <v>422</v>
      </c>
    </row>
    <row r="3" spans="2:12" s="69" customFormat="1">
      <c r="B3" s="63" t="s">
        <v>414</v>
      </c>
      <c r="C3" s="29" t="s">
        <v>415</v>
      </c>
      <c r="D3" s="29" t="s">
        <v>519</v>
      </c>
      <c r="E3" s="29" t="s">
        <v>518</v>
      </c>
      <c r="F3" s="29" t="s">
        <v>485</v>
      </c>
      <c r="G3" s="29" t="s">
        <v>416</v>
      </c>
      <c r="H3" s="29" t="s">
        <v>488</v>
      </c>
      <c r="I3" s="29" t="s">
        <v>417</v>
      </c>
      <c r="J3" s="63" t="s">
        <v>419</v>
      </c>
      <c r="K3" s="63" t="s">
        <v>418</v>
      </c>
      <c r="L3" s="29" t="s">
        <v>420</v>
      </c>
    </row>
    <row r="4" spans="2:12">
      <c r="B4" s="97" t="s">
        <v>19</v>
      </c>
      <c r="C4" s="79" t="s">
        <v>483</v>
      </c>
      <c r="D4" s="79" t="s">
        <v>484</v>
      </c>
      <c r="E4" s="108" t="s">
        <v>539</v>
      </c>
      <c r="F4" s="78">
        <v>85190</v>
      </c>
      <c r="G4" s="79" t="s">
        <v>486</v>
      </c>
      <c r="H4" s="108" t="s">
        <v>539</v>
      </c>
      <c r="I4" s="79" t="s">
        <v>487</v>
      </c>
      <c r="J4" s="96" t="s">
        <v>489</v>
      </c>
      <c r="K4" s="96" t="s">
        <v>490</v>
      </c>
      <c r="L4" s="79" t="s">
        <v>491</v>
      </c>
    </row>
    <row r="5" spans="2:12">
      <c r="B5" s="66" t="s">
        <v>390</v>
      </c>
      <c r="C5" s="105" t="s">
        <v>520</v>
      </c>
      <c r="D5" s="105" t="s">
        <v>521</v>
      </c>
      <c r="E5" s="105" t="s">
        <v>522</v>
      </c>
      <c r="F5" s="92">
        <v>13001</v>
      </c>
      <c r="G5" s="105" t="s">
        <v>523</v>
      </c>
      <c r="H5" s="108" t="s">
        <v>539</v>
      </c>
      <c r="I5" s="105" t="s">
        <v>487</v>
      </c>
      <c r="J5" s="173" t="s">
        <v>539</v>
      </c>
      <c r="K5" s="173" t="s">
        <v>539</v>
      </c>
      <c r="L5" s="174" t="s">
        <v>539</v>
      </c>
    </row>
    <row r="6" spans="2:12">
      <c r="B6" s="66" t="s">
        <v>391</v>
      </c>
      <c r="C6" s="105" t="s">
        <v>533</v>
      </c>
      <c r="D6" s="105" t="s">
        <v>534</v>
      </c>
      <c r="E6" s="105" t="s">
        <v>540</v>
      </c>
      <c r="F6" s="92">
        <v>12204</v>
      </c>
      <c r="G6" s="105" t="s">
        <v>535</v>
      </c>
      <c r="H6" s="108" t="s">
        <v>539</v>
      </c>
      <c r="I6" s="105" t="s">
        <v>536</v>
      </c>
      <c r="J6" s="172" t="s">
        <v>606</v>
      </c>
      <c r="K6" s="173" t="s">
        <v>539</v>
      </c>
      <c r="L6" s="174" t="s">
        <v>539</v>
      </c>
    </row>
    <row r="7" spans="2:12">
      <c r="B7" s="66" t="s">
        <v>392</v>
      </c>
      <c r="C7" s="105" t="s">
        <v>537</v>
      </c>
      <c r="D7" s="105" t="s">
        <v>538</v>
      </c>
      <c r="E7" s="108" t="s">
        <v>539</v>
      </c>
      <c r="F7" s="92">
        <v>1225</v>
      </c>
      <c r="G7" s="105" t="s">
        <v>541</v>
      </c>
      <c r="H7" s="108" t="s">
        <v>539</v>
      </c>
      <c r="I7" s="105" t="s">
        <v>542</v>
      </c>
      <c r="J7" s="173" t="s">
        <v>539</v>
      </c>
      <c r="K7" s="173" t="s">
        <v>539</v>
      </c>
      <c r="L7" s="174" t="s">
        <v>539</v>
      </c>
    </row>
    <row r="8" spans="2:12">
      <c r="B8" s="66" t="s">
        <v>393</v>
      </c>
      <c r="C8" s="105" t="s">
        <v>545</v>
      </c>
      <c r="D8" s="105" t="s">
        <v>543</v>
      </c>
      <c r="E8" s="108" t="s">
        <v>539</v>
      </c>
      <c r="F8" s="92">
        <v>85000</v>
      </c>
      <c r="G8" s="105" t="s">
        <v>544</v>
      </c>
      <c r="H8" s="108" t="s">
        <v>539</v>
      </c>
      <c r="I8" s="105" t="s">
        <v>487</v>
      </c>
      <c r="J8" s="173" t="s">
        <v>539</v>
      </c>
      <c r="K8" s="173" t="s">
        <v>539</v>
      </c>
      <c r="L8" s="174" t="s">
        <v>539</v>
      </c>
    </row>
    <row r="9" spans="2:12">
      <c r="B9" s="66" t="s">
        <v>394</v>
      </c>
      <c r="C9" s="105" t="s">
        <v>546</v>
      </c>
      <c r="D9" s="105" t="s">
        <v>547</v>
      </c>
      <c r="E9" s="105" t="s">
        <v>548</v>
      </c>
      <c r="F9" s="92">
        <v>12152</v>
      </c>
      <c r="G9" s="105" t="s">
        <v>535</v>
      </c>
      <c r="H9" s="108" t="s">
        <v>539</v>
      </c>
      <c r="I9" s="105" t="s">
        <v>536</v>
      </c>
      <c r="J9" s="173" t="s">
        <v>539</v>
      </c>
      <c r="K9" s="173" t="s">
        <v>539</v>
      </c>
      <c r="L9" s="174" t="s">
        <v>539</v>
      </c>
    </row>
    <row r="10" spans="2:12">
      <c r="B10" s="66" t="s">
        <v>395</v>
      </c>
      <c r="C10" s="93"/>
      <c r="D10" s="90"/>
      <c r="E10" s="90"/>
      <c r="F10" s="92"/>
      <c r="G10" s="90"/>
      <c r="H10" s="90"/>
      <c r="I10" s="90"/>
      <c r="J10" s="173" t="s">
        <v>539</v>
      </c>
      <c r="K10" s="94"/>
      <c r="L10" s="90"/>
    </row>
    <row r="11" spans="2:12">
      <c r="B11" s="66" t="s">
        <v>396</v>
      </c>
      <c r="C11" s="93"/>
      <c r="D11" s="90"/>
      <c r="E11" s="90"/>
      <c r="F11" s="92"/>
      <c r="G11" s="90"/>
      <c r="H11" s="90"/>
      <c r="I11" s="90"/>
      <c r="J11" s="173" t="s">
        <v>539</v>
      </c>
      <c r="K11" s="94"/>
      <c r="L11" s="90"/>
    </row>
    <row r="12" spans="2:12">
      <c r="B12" s="66" t="s">
        <v>409</v>
      </c>
      <c r="C12" s="93"/>
      <c r="D12" s="90"/>
      <c r="E12" s="90"/>
      <c r="F12" s="92"/>
      <c r="G12" s="90"/>
      <c r="H12" s="90"/>
      <c r="I12" s="90"/>
      <c r="J12" s="173" t="s">
        <v>539</v>
      </c>
      <c r="K12" s="94"/>
      <c r="L12" s="90"/>
    </row>
    <row r="13" spans="2:12">
      <c r="B13" s="66" t="s">
        <v>421</v>
      </c>
      <c r="C13" s="93"/>
      <c r="D13" s="90"/>
      <c r="E13" s="90"/>
      <c r="F13" s="92"/>
      <c r="G13" s="90"/>
      <c r="H13" s="90"/>
      <c r="I13" s="90"/>
      <c r="J13" s="173" t="s">
        <v>539</v>
      </c>
      <c r="K13" s="94"/>
      <c r="L13" s="90"/>
    </row>
    <row r="14" spans="2:12">
      <c r="B14" s="64" t="s">
        <v>422</v>
      </c>
      <c r="C14" s="93"/>
      <c r="D14" s="90"/>
      <c r="E14" s="90"/>
      <c r="F14" s="92"/>
      <c r="G14" s="90"/>
      <c r="H14" s="90"/>
      <c r="I14" s="90"/>
      <c r="J14" s="173" t="s">
        <v>539</v>
      </c>
      <c r="K14" s="94"/>
      <c r="L14" s="90"/>
    </row>
    <row r="15" spans="2:12">
      <c r="B15" s="64" t="s">
        <v>423</v>
      </c>
      <c r="C15" s="93"/>
      <c r="D15" s="90"/>
      <c r="E15" s="90"/>
      <c r="F15" s="92"/>
      <c r="G15" s="90"/>
      <c r="H15" s="90"/>
      <c r="I15" s="90"/>
      <c r="J15" s="173" t="s">
        <v>539</v>
      </c>
      <c r="K15" s="94"/>
      <c r="L15" s="90"/>
    </row>
    <row r="16" spans="2:12">
      <c r="B16" s="64" t="s">
        <v>424</v>
      </c>
      <c r="C16" s="93"/>
      <c r="D16" s="90"/>
      <c r="E16" s="90"/>
      <c r="F16" s="92"/>
      <c r="G16" s="90"/>
      <c r="H16" s="90"/>
      <c r="I16" s="90"/>
      <c r="J16" s="173" t="s">
        <v>539</v>
      </c>
      <c r="K16" s="94"/>
      <c r="L16" s="90"/>
    </row>
    <row r="17" spans="2:12">
      <c r="B17" s="64" t="s">
        <v>425</v>
      </c>
      <c r="C17" s="93"/>
      <c r="D17" s="90"/>
      <c r="E17" s="90"/>
      <c r="F17" s="92"/>
      <c r="G17" s="90"/>
      <c r="H17" s="90"/>
      <c r="I17" s="90"/>
      <c r="J17" s="173" t="s">
        <v>539</v>
      </c>
      <c r="K17" s="94"/>
      <c r="L17" s="90"/>
    </row>
    <row r="18" spans="2:12">
      <c r="B18" s="64" t="s">
        <v>426</v>
      </c>
      <c r="C18" s="93"/>
      <c r="D18" s="90"/>
      <c r="E18" s="90"/>
      <c r="F18" s="92"/>
      <c r="G18" s="90"/>
      <c r="H18" s="90"/>
      <c r="I18" s="90"/>
      <c r="J18" s="173" t="s">
        <v>539</v>
      </c>
      <c r="K18" s="94"/>
      <c r="L18" s="90"/>
    </row>
    <row r="19" spans="2:12">
      <c r="B19" s="64" t="s">
        <v>427</v>
      </c>
      <c r="C19" s="93"/>
      <c r="D19" s="90"/>
      <c r="E19" s="90"/>
      <c r="F19" s="92"/>
      <c r="G19" s="90"/>
      <c r="H19" s="90"/>
      <c r="I19" s="90"/>
      <c r="J19" s="173" t="s">
        <v>539</v>
      </c>
      <c r="K19" s="94"/>
      <c r="L19" s="90"/>
    </row>
    <row r="20" spans="2:12">
      <c r="B20" s="64" t="s">
        <v>428</v>
      </c>
      <c r="C20" s="93"/>
      <c r="D20" s="90"/>
      <c r="E20" s="90"/>
      <c r="F20" s="92"/>
      <c r="G20" s="90"/>
      <c r="H20" s="90"/>
      <c r="I20" s="90"/>
      <c r="J20" s="173" t="s">
        <v>539</v>
      </c>
      <c r="K20" s="94"/>
      <c r="L20" s="90"/>
    </row>
    <row r="21" spans="2:12" ht="15">
      <c r="B21" s="64" t="s">
        <v>429</v>
      </c>
      <c r="C21" s="93"/>
      <c r="D21" s="107"/>
      <c r="E21" s="90"/>
      <c r="F21" s="92"/>
      <c r="G21" s="90"/>
      <c r="H21" s="90"/>
      <c r="I21" s="90"/>
      <c r="J21" s="173" t="s">
        <v>539</v>
      </c>
      <c r="K21" s="94"/>
      <c r="L21" s="90"/>
    </row>
    <row r="22" spans="2:12">
      <c r="B22" s="64" t="s">
        <v>430</v>
      </c>
      <c r="C22" s="93"/>
      <c r="D22" s="90"/>
      <c r="E22" s="90"/>
      <c r="F22" s="92"/>
      <c r="G22" s="90"/>
      <c r="H22" s="90"/>
      <c r="I22" s="90"/>
      <c r="J22" s="173" t="s">
        <v>539</v>
      </c>
      <c r="K22" s="94"/>
      <c r="L22" s="90"/>
    </row>
    <row r="23" spans="2:12">
      <c r="B23" s="64" t="s">
        <v>431</v>
      </c>
      <c r="C23" s="93"/>
      <c r="D23" s="90"/>
      <c r="E23" s="90"/>
      <c r="F23" s="92"/>
      <c r="G23" s="90"/>
      <c r="H23" s="90"/>
      <c r="I23" s="90"/>
      <c r="J23" s="173" t="s">
        <v>539</v>
      </c>
      <c r="K23" s="94"/>
      <c r="L23" s="90"/>
    </row>
    <row r="24" spans="2:12">
      <c r="B24" s="64" t="s">
        <v>432</v>
      </c>
      <c r="C24" s="93"/>
      <c r="D24" s="90"/>
      <c r="E24" s="90"/>
      <c r="F24" s="92"/>
      <c r="G24" s="90"/>
      <c r="H24" s="90"/>
      <c r="I24" s="90"/>
      <c r="J24" s="173" t="s">
        <v>539</v>
      </c>
      <c r="K24" s="94"/>
      <c r="L24" s="90"/>
    </row>
    <row r="25" spans="2:12">
      <c r="B25" s="64" t="s">
        <v>433</v>
      </c>
      <c r="C25" s="93"/>
      <c r="D25" s="90"/>
      <c r="E25" s="90"/>
      <c r="F25" s="92"/>
      <c r="G25" s="90"/>
      <c r="H25" s="90"/>
      <c r="I25" s="90"/>
      <c r="J25" s="173" t="s">
        <v>539</v>
      </c>
      <c r="K25" s="94"/>
      <c r="L25" s="90"/>
    </row>
    <row r="26" spans="2:12">
      <c r="B26" s="64" t="s">
        <v>434</v>
      </c>
      <c r="C26" s="93"/>
      <c r="D26" s="90"/>
      <c r="E26" s="90"/>
      <c r="F26" s="92"/>
      <c r="G26" s="90"/>
      <c r="H26" s="90"/>
      <c r="I26" s="90"/>
      <c r="J26" s="173" t="s">
        <v>539</v>
      </c>
      <c r="K26" s="94"/>
      <c r="L26" s="90"/>
    </row>
    <row r="27" spans="2:12">
      <c r="B27" s="64" t="s">
        <v>435</v>
      </c>
      <c r="C27" s="93"/>
      <c r="D27" s="90"/>
      <c r="E27" s="90"/>
      <c r="F27" s="92"/>
      <c r="G27" s="90"/>
      <c r="H27" s="90"/>
      <c r="I27" s="90"/>
      <c r="J27" s="173" t="s">
        <v>539</v>
      </c>
      <c r="K27" s="94"/>
      <c r="L27" s="90"/>
    </row>
    <row r="28" spans="2:12">
      <c r="B28" s="64" t="s">
        <v>436</v>
      </c>
      <c r="C28" s="93"/>
      <c r="D28" s="90"/>
      <c r="E28" s="90"/>
      <c r="F28" s="92"/>
      <c r="G28" s="90"/>
      <c r="H28" s="90"/>
      <c r="I28" s="90"/>
      <c r="J28" s="173" t="s">
        <v>539</v>
      </c>
      <c r="K28" s="94"/>
      <c r="L28" s="90"/>
    </row>
    <row r="29" spans="2:12">
      <c r="B29" s="64" t="s">
        <v>438</v>
      </c>
      <c r="C29" s="90"/>
      <c r="D29" s="90"/>
      <c r="E29" s="90"/>
      <c r="F29" s="92"/>
      <c r="G29" s="90"/>
      <c r="H29" s="90"/>
      <c r="I29" s="90"/>
      <c r="J29" s="173" t="s">
        <v>539</v>
      </c>
      <c r="K29" s="94"/>
      <c r="L29" s="90"/>
    </row>
    <row r="30" spans="2:12">
      <c r="B30" s="64" t="s">
        <v>439</v>
      </c>
      <c r="C30" s="90"/>
      <c r="D30" s="90"/>
      <c r="E30" s="90"/>
      <c r="F30" s="92"/>
      <c r="G30" s="90"/>
      <c r="H30" s="90"/>
      <c r="I30" s="90"/>
      <c r="J30" s="173" t="s">
        <v>539</v>
      </c>
      <c r="K30" s="94"/>
      <c r="L30" s="90"/>
    </row>
    <row r="31" spans="2:12">
      <c r="B31" s="64" t="s">
        <v>440</v>
      </c>
      <c r="C31" s="90"/>
      <c r="D31" s="90"/>
      <c r="E31" s="90"/>
      <c r="F31" s="92"/>
      <c r="G31" s="90"/>
      <c r="H31" s="90"/>
      <c r="I31" s="90"/>
      <c r="J31" s="173" t="s">
        <v>539</v>
      </c>
      <c r="K31" s="94"/>
      <c r="L31" s="90"/>
    </row>
    <row r="32" spans="2:12">
      <c r="B32" s="64" t="s">
        <v>441</v>
      </c>
      <c r="C32" s="90"/>
      <c r="D32" s="90"/>
      <c r="E32" s="90"/>
      <c r="F32" s="92"/>
      <c r="G32" s="90"/>
      <c r="H32" s="90"/>
      <c r="I32" s="90"/>
      <c r="J32" s="173" t="s">
        <v>539</v>
      </c>
      <c r="K32" s="94"/>
      <c r="L32" s="90"/>
    </row>
    <row r="33" spans="2:12">
      <c r="B33" s="64" t="s">
        <v>442</v>
      </c>
      <c r="C33" s="90"/>
      <c r="D33" s="90"/>
      <c r="E33" s="90"/>
      <c r="F33" s="92"/>
      <c r="G33" s="90"/>
      <c r="H33" s="90"/>
      <c r="I33" s="90"/>
      <c r="J33" s="173" t="s">
        <v>539</v>
      </c>
      <c r="K33" s="94"/>
      <c r="L33" s="90"/>
    </row>
    <row r="34" spans="2:12">
      <c r="B34" s="64" t="s">
        <v>443</v>
      </c>
      <c r="C34" s="90"/>
      <c r="D34" s="90"/>
      <c r="E34" s="90"/>
      <c r="F34" s="92"/>
      <c r="G34" s="90"/>
      <c r="H34" s="90"/>
      <c r="I34" s="90"/>
      <c r="J34" s="94"/>
      <c r="K34" s="94"/>
      <c r="L34" s="90"/>
    </row>
    <row r="35" spans="2:12">
      <c r="B35" s="64" t="s">
        <v>444</v>
      </c>
      <c r="C35" s="90"/>
      <c r="D35" s="90"/>
      <c r="E35" s="90"/>
      <c r="F35" s="92"/>
      <c r="G35" s="90"/>
      <c r="H35" s="90"/>
      <c r="I35" s="90"/>
      <c r="J35" s="94"/>
      <c r="K35" s="94"/>
      <c r="L35" s="90"/>
    </row>
    <row r="36" spans="2:12">
      <c r="B36" s="64" t="s">
        <v>445</v>
      </c>
      <c r="C36" s="90"/>
      <c r="D36" s="90"/>
      <c r="E36" s="90"/>
      <c r="F36" s="92"/>
      <c r="G36" s="90"/>
      <c r="H36" s="90"/>
      <c r="I36" s="90"/>
      <c r="J36" s="94"/>
      <c r="K36" s="94"/>
      <c r="L36" s="90"/>
    </row>
    <row r="37" spans="2:12">
      <c r="B37" s="64" t="s">
        <v>446</v>
      </c>
      <c r="C37" s="90"/>
      <c r="D37" s="90"/>
      <c r="E37" s="90"/>
      <c r="F37" s="92"/>
      <c r="G37" s="90"/>
      <c r="H37" s="90"/>
      <c r="I37" s="90"/>
      <c r="J37" s="94"/>
      <c r="K37" s="94"/>
      <c r="L37" s="90"/>
    </row>
    <row r="38" spans="2:12">
      <c r="B38" s="64" t="s">
        <v>447</v>
      </c>
      <c r="C38" s="90"/>
      <c r="D38" s="90"/>
      <c r="E38" s="90"/>
      <c r="F38" s="92"/>
      <c r="G38" s="90"/>
      <c r="H38" s="90"/>
      <c r="I38" s="90"/>
      <c r="J38" s="94"/>
      <c r="K38" s="94"/>
      <c r="L38" s="90"/>
    </row>
    <row r="39" spans="2:12">
      <c r="B39" s="64" t="s">
        <v>448</v>
      </c>
      <c r="C39" s="90"/>
      <c r="D39" s="90"/>
      <c r="E39" s="90"/>
      <c r="F39" s="92"/>
      <c r="G39" s="90"/>
      <c r="H39" s="90"/>
      <c r="I39" s="90"/>
      <c r="J39" s="94"/>
      <c r="K39" s="94"/>
      <c r="L39" s="90"/>
    </row>
    <row r="40" spans="2:12">
      <c r="B40" s="64" t="s">
        <v>449</v>
      </c>
      <c r="C40" s="90"/>
      <c r="D40" s="90"/>
      <c r="E40" s="90"/>
      <c r="F40" s="92"/>
      <c r="G40" s="90"/>
      <c r="H40" s="90"/>
      <c r="I40" s="90"/>
      <c r="J40" s="94"/>
      <c r="K40" s="94"/>
      <c r="L40" s="90"/>
    </row>
    <row r="41" spans="2:12">
      <c r="B41" s="64" t="s">
        <v>450</v>
      </c>
      <c r="C41" s="90"/>
      <c r="D41" s="90"/>
      <c r="E41" s="90"/>
      <c r="F41" s="92"/>
      <c r="G41" s="90"/>
      <c r="H41" s="90"/>
      <c r="I41" s="90"/>
      <c r="J41" s="94"/>
      <c r="K41" s="94"/>
      <c r="L41" s="90"/>
    </row>
    <row r="42" spans="2:12">
      <c r="B42" s="64" t="s">
        <v>451</v>
      </c>
      <c r="C42" s="90"/>
      <c r="D42" s="90"/>
      <c r="E42" s="90"/>
      <c r="F42" s="92"/>
      <c r="G42" s="90"/>
      <c r="H42" s="90"/>
      <c r="I42" s="90"/>
      <c r="J42" s="94"/>
      <c r="K42" s="94"/>
      <c r="L42" s="90"/>
    </row>
    <row r="43" spans="2:12">
      <c r="B43" s="64" t="s">
        <v>452</v>
      </c>
      <c r="C43" s="90"/>
      <c r="D43" s="90"/>
      <c r="E43" s="90"/>
      <c r="F43" s="92"/>
      <c r="G43" s="90"/>
      <c r="H43" s="90"/>
      <c r="I43" s="90"/>
      <c r="J43" s="94"/>
      <c r="K43" s="94"/>
      <c r="L43" s="90"/>
    </row>
    <row r="44" spans="2:12">
      <c r="B44" s="64" t="s">
        <v>453</v>
      </c>
      <c r="C44" s="90"/>
      <c r="D44" s="90"/>
      <c r="E44" s="90"/>
      <c r="F44" s="92"/>
      <c r="G44" s="90"/>
      <c r="H44" s="90"/>
      <c r="I44" s="90"/>
      <c r="J44" s="94"/>
      <c r="K44" s="94"/>
      <c r="L44" s="90"/>
    </row>
    <row r="45" spans="2:12">
      <c r="B45" s="64" t="s">
        <v>454</v>
      </c>
      <c r="C45" s="90"/>
      <c r="D45" s="90"/>
      <c r="E45" s="90"/>
      <c r="F45" s="92"/>
      <c r="G45" s="90"/>
      <c r="H45" s="90"/>
      <c r="I45" s="90"/>
      <c r="J45" s="94"/>
      <c r="K45" s="94"/>
      <c r="L45" s="90"/>
    </row>
    <row r="46" spans="2:12">
      <c r="B46" s="64" t="s">
        <v>455</v>
      </c>
      <c r="C46" s="90"/>
      <c r="D46" s="90"/>
      <c r="E46" s="90"/>
      <c r="F46" s="92"/>
      <c r="G46" s="90"/>
      <c r="H46" s="90"/>
      <c r="I46" s="90"/>
      <c r="J46" s="94"/>
      <c r="K46" s="94"/>
      <c r="L46" s="90"/>
    </row>
    <row r="47" spans="2:12">
      <c r="B47" s="64" t="s">
        <v>456</v>
      </c>
      <c r="C47" s="90"/>
      <c r="D47" s="90"/>
      <c r="E47" s="90"/>
      <c r="F47" s="92"/>
      <c r="G47" s="90"/>
      <c r="H47" s="90"/>
      <c r="I47" s="90"/>
      <c r="J47" s="94"/>
      <c r="K47" s="94"/>
      <c r="L47" s="90"/>
    </row>
    <row r="48" spans="2:12">
      <c r="B48" s="64" t="s">
        <v>457</v>
      </c>
      <c r="C48" s="90"/>
      <c r="D48" s="90"/>
      <c r="E48" s="90"/>
      <c r="F48" s="92"/>
      <c r="G48" s="90"/>
      <c r="H48" s="90"/>
      <c r="I48" s="90"/>
      <c r="J48" s="94"/>
      <c r="K48" s="94"/>
      <c r="L48" s="90"/>
    </row>
    <row r="49" spans="2:12">
      <c r="B49" s="64" t="s">
        <v>458</v>
      </c>
      <c r="C49" s="90"/>
      <c r="D49" s="90"/>
      <c r="E49" s="90"/>
      <c r="F49" s="92"/>
      <c r="G49" s="90"/>
      <c r="H49" s="90"/>
      <c r="I49" s="90"/>
      <c r="J49" s="94"/>
      <c r="K49" s="94"/>
      <c r="L49" s="90"/>
    </row>
    <row r="50" spans="2:12">
      <c r="B50" s="64" t="s">
        <v>459</v>
      </c>
      <c r="C50" s="90"/>
      <c r="D50" s="90"/>
      <c r="E50" s="90"/>
      <c r="F50" s="92"/>
      <c r="G50" s="90"/>
      <c r="H50" s="90"/>
      <c r="I50" s="90"/>
      <c r="J50" s="94"/>
      <c r="K50" s="94"/>
      <c r="L50" s="90"/>
    </row>
    <row r="51" spans="2:12">
      <c r="B51" s="64" t="s">
        <v>460</v>
      </c>
      <c r="C51" s="90"/>
      <c r="D51" s="90"/>
      <c r="E51" s="90"/>
      <c r="F51" s="92"/>
      <c r="G51" s="90"/>
      <c r="H51" s="90"/>
      <c r="I51" s="90"/>
      <c r="J51" s="94"/>
      <c r="K51" s="94"/>
      <c r="L51" s="90"/>
    </row>
    <row r="52" spans="2:12">
      <c r="B52" s="64" t="s">
        <v>461</v>
      </c>
      <c r="C52" s="90"/>
      <c r="D52" s="90"/>
      <c r="E52" s="90"/>
      <c r="F52" s="92"/>
      <c r="G52" s="90"/>
      <c r="H52" s="90"/>
      <c r="I52" s="90"/>
      <c r="J52" s="94"/>
      <c r="K52" s="94"/>
      <c r="L52" s="90"/>
    </row>
    <row r="53" spans="2:12">
      <c r="B53" s="64" t="s">
        <v>462</v>
      </c>
      <c r="C53" s="90"/>
      <c r="D53" s="90"/>
      <c r="E53" s="90"/>
      <c r="F53" s="92"/>
      <c r="G53" s="90"/>
      <c r="H53" s="90"/>
      <c r="I53" s="90"/>
      <c r="J53" s="94"/>
      <c r="K53" s="94"/>
      <c r="L53" s="90"/>
    </row>
    <row r="54" spans="2:12">
      <c r="B54" s="61"/>
    </row>
    <row r="55" spans="2:12">
      <c r="B55" s="61"/>
    </row>
    <row r="56" spans="2:12">
      <c r="B56" s="61"/>
    </row>
    <row r="57" spans="2:12">
      <c r="B57" s="61"/>
    </row>
    <row r="58" spans="2:12">
      <c r="B58" s="61"/>
    </row>
    <row r="59" spans="2:12">
      <c r="B59" s="61"/>
    </row>
    <row r="60" spans="2:12">
      <c r="B60" s="61"/>
    </row>
    <row r="61" spans="2:12">
      <c r="B61" s="61"/>
    </row>
    <row r="62" spans="2:12">
      <c r="B62" s="61"/>
    </row>
    <row r="63" spans="2:12">
      <c r="B63" s="61"/>
    </row>
    <row r="64" spans="2:12">
      <c r="B64" s="61"/>
    </row>
    <row r="65" spans="2:2">
      <c r="B65" s="61"/>
    </row>
    <row r="66" spans="2:2">
      <c r="B66" s="61"/>
    </row>
    <row r="67" spans="2:2">
      <c r="B67" s="61"/>
    </row>
    <row r="68" spans="2:2">
      <c r="B68" s="61"/>
    </row>
    <row r="69" spans="2:2">
      <c r="B69" s="61"/>
    </row>
    <row r="70" spans="2:2">
      <c r="B70" s="61"/>
    </row>
    <row r="71" spans="2:2">
      <c r="B71" s="61"/>
    </row>
    <row r="72" spans="2:2">
      <c r="B72" s="61"/>
    </row>
    <row r="73" spans="2:2">
      <c r="B73" s="61"/>
    </row>
    <row r="74" spans="2:2">
      <c r="B74" s="61"/>
    </row>
    <row r="75" spans="2:2">
      <c r="B75" s="61"/>
    </row>
    <row r="76" spans="2:2">
      <c r="B76" s="61"/>
    </row>
    <row r="77" spans="2:2">
      <c r="B77" s="61"/>
    </row>
    <row r="78" spans="2:2">
      <c r="B78" s="61"/>
    </row>
    <row r="79" spans="2:2">
      <c r="B79" s="61"/>
    </row>
    <row r="80" spans="2:2">
      <c r="B80" s="61"/>
    </row>
    <row r="81" spans="2:2">
      <c r="B81" s="61"/>
    </row>
    <row r="82" spans="2:2">
      <c r="B82" s="61"/>
    </row>
  </sheetData>
  <sheetProtection sheet="1" objects="1" scenarios="1"/>
  <sortState ref="B4:L9">
    <sortCondition ref="C4:C28"/>
  </sortState>
  <pageMargins left="0.7" right="0.7" top="0.75" bottom="0.75" header="0.3" footer="0.3"/>
  <pageSetup paperSize="9" orientation="portrait" horizontalDpi="0" verticalDpi="0" r:id="rId1"/>
  <ignoredErrors>
    <ignoredError sqref="B10:B5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tabColor theme="9"/>
  </sheetPr>
  <dimension ref="A1:G19"/>
  <sheetViews>
    <sheetView showGridLines="0" workbookViewId="0">
      <selection activeCell="B12" sqref="B12"/>
    </sheetView>
  </sheetViews>
  <sheetFormatPr baseColWidth="10" defaultColWidth="11.5703125" defaultRowHeight="12.75"/>
  <cols>
    <col min="1" max="1" width="28.28515625" style="495" customWidth="1"/>
    <col min="2" max="2" width="24.28515625" style="495" customWidth="1"/>
    <col min="3" max="3" width="27.85546875" style="495" customWidth="1"/>
    <col min="4" max="4" width="17.140625" style="495" customWidth="1"/>
    <col min="5" max="5" width="9" style="495" customWidth="1"/>
    <col min="6" max="6" width="10" style="495" customWidth="1"/>
    <col min="7" max="7" width="9" style="496" customWidth="1"/>
    <col min="8" max="9" width="9" style="495" customWidth="1"/>
    <col min="10" max="11" width="7.5703125" style="495" customWidth="1"/>
    <col min="12" max="12" width="5.85546875" style="495" customWidth="1"/>
    <col min="13" max="13" width="11.85546875" style="495" customWidth="1"/>
    <col min="14" max="14" width="7.7109375" style="495" customWidth="1"/>
    <col min="15" max="17" width="8" style="495" customWidth="1"/>
    <col min="18" max="18" width="7.7109375" style="495" customWidth="1"/>
    <col min="19" max="19" width="5" style="495" customWidth="1"/>
    <col min="20" max="20" width="7.7109375" style="495" customWidth="1"/>
    <col min="21" max="21" width="11.85546875" style="495" bestFit="1" customWidth="1"/>
    <col min="22" max="16384" width="11.5703125" style="495"/>
  </cols>
  <sheetData>
    <row r="1" spans="1:7">
      <c r="A1" s="513" t="s">
        <v>415</v>
      </c>
      <c r="B1" s="514" t="s">
        <v>665</v>
      </c>
    </row>
    <row r="2" spans="1:7">
      <c r="A2" s="513" t="s">
        <v>466</v>
      </c>
      <c r="B2" s="514" t="s">
        <v>665</v>
      </c>
    </row>
    <row r="3" spans="1:7">
      <c r="A3" s="513" t="s">
        <v>645</v>
      </c>
      <c r="B3" s="514" t="s">
        <v>665</v>
      </c>
    </row>
    <row r="4" spans="1:7">
      <c r="A4" s="513" t="s">
        <v>669</v>
      </c>
      <c r="B4" s="514" t="s">
        <v>665</v>
      </c>
    </row>
    <row r="5" spans="1:7">
      <c r="A5" s="513" t="s">
        <v>647</v>
      </c>
      <c r="B5" s="514" t="s">
        <v>665</v>
      </c>
    </row>
    <row r="6" spans="1:7" ht="15">
      <c r="A6" s="513" t="s">
        <v>646</v>
      </c>
      <c r="B6" s="514" t="s">
        <v>665</v>
      </c>
      <c r="C6"/>
      <c r="G6" s="497"/>
    </row>
    <row r="7" spans="1:7" ht="15">
      <c r="A7"/>
      <c r="B7"/>
      <c r="C7"/>
    </row>
    <row r="8" spans="1:7">
      <c r="A8" s="514"/>
      <c r="B8" s="513" t="s">
        <v>667</v>
      </c>
      <c r="C8" s="514"/>
    </row>
    <row r="9" spans="1:7">
      <c r="A9" s="513" t="s">
        <v>664</v>
      </c>
      <c r="B9" s="514" t="s">
        <v>666</v>
      </c>
      <c r="C9" s="514" t="s">
        <v>668</v>
      </c>
    </row>
    <row r="10" spans="1:7">
      <c r="A10" s="515" t="s">
        <v>12</v>
      </c>
      <c r="B10" s="516">
        <v>23994.480000000003</v>
      </c>
      <c r="C10" s="517">
        <v>17.643000000000001</v>
      </c>
    </row>
    <row r="11" spans="1:7">
      <c r="A11" s="515" t="s">
        <v>13</v>
      </c>
      <c r="B11" s="516">
        <v>22434.12</v>
      </c>
      <c r="C11" s="517">
        <v>1.234</v>
      </c>
    </row>
    <row r="12" spans="1:7">
      <c r="A12" s="515" t="s">
        <v>576</v>
      </c>
      <c r="B12" s="516">
        <v>96</v>
      </c>
      <c r="C12" s="517">
        <v>2</v>
      </c>
    </row>
    <row r="13" spans="1:7">
      <c r="A13" s="515" t="s">
        <v>9</v>
      </c>
      <c r="B13" s="516">
        <v>17022.46</v>
      </c>
      <c r="C13" s="517">
        <v>18.706</v>
      </c>
    </row>
    <row r="14" spans="1:7">
      <c r="A14" s="515" t="s">
        <v>15</v>
      </c>
      <c r="B14" s="516">
        <v>16569.28</v>
      </c>
      <c r="C14" s="517">
        <v>18.207999999999998</v>
      </c>
    </row>
    <row r="15" spans="1:7">
      <c r="A15" s="515" t="s">
        <v>14</v>
      </c>
      <c r="B15" s="516">
        <v>24933.149999999994</v>
      </c>
      <c r="C15" s="517">
        <v>36.134999999999998</v>
      </c>
    </row>
    <row r="16" spans="1:7">
      <c r="A16" s="515" t="s">
        <v>11</v>
      </c>
      <c r="B16" s="516">
        <v>118.536</v>
      </c>
      <c r="C16" s="517">
        <v>19.756</v>
      </c>
    </row>
    <row r="17" spans="1:3">
      <c r="A17" s="515" t="s">
        <v>493</v>
      </c>
      <c r="B17" s="516">
        <v>30732.51</v>
      </c>
      <c r="C17" s="517">
        <v>57.23</v>
      </c>
    </row>
    <row r="18" spans="1:3">
      <c r="A18" s="515" t="s">
        <v>662</v>
      </c>
      <c r="B18" s="516">
        <v>0</v>
      </c>
      <c r="C18" s="517">
        <v>0</v>
      </c>
    </row>
    <row r="19" spans="1:3">
      <c r="A19" s="515" t="s">
        <v>663</v>
      </c>
      <c r="B19" s="516">
        <v>135900.53599999999</v>
      </c>
      <c r="C19" s="517">
        <v>170.91199999999998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9">
    <tabColor theme="9"/>
  </sheetPr>
  <dimension ref="B2:N38"/>
  <sheetViews>
    <sheetView showGridLines="0" workbookViewId="0">
      <selection activeCell="B12" sqref="B12:N38"/>
    </sheetView>
  </sheetViews>
  <sheetFormatPr baseColWidth="10" defaultColWidth="11.5703125" defaultRowHeight="12.75"/>
  <cols>
    <col min="1" max="1" width="5" style="475" customWidth="1"/>
    <col min="2" max="2" width="38.140625" style="475" customWidth="1"/>
    <col min="3" max="3" width="8.42578125" style="472" customWidth="1"/>
    <col min="4" max="4" width="8.140625" style="472" customWidth="1"/>
    <col min="5" max="6" width="12.7109375" style="472" customWidth="1"/>
    <col min="7" max="8" width="16.7109375" style="472" customWidth="1"/>
    <col min="9" max="12" width="6.7109375" style="472" customWidth="1"/>
    <col min="13" max="13" width="20.42578125" style="472" customWidth="1"/>
    <col min="14" max="14" width="21.7109375" style="472" customWidth="1"/>
    <col min="15" max="16384" width="11.5703125" style="475"/>
  </cols>
  <sheetData>
    <row r="2" spans="2:14" s="498" customFormat="1" ht="25.5">
      <c r="B2" s="490" t="s">
        <v>20</v>
      </c>
      <c r="C2" s="491" t="s">
        <v>466</v>
      </c>
      <c r="D2" s="491" t="s">
        <v>614</v>
      </c>
      <c r="E2" s="491" t="s">
        <v>613</v>
      </c>
      <c r="F2" s="492" t="s">
        <v>617</v>
      </c>
      <c r="G2" s="491" t="s">
        <v>503</v>
      </c>
      <c r="H2" s="491" t="s">
        <v>497</v>
      </c>
      <c r="I2" s="491" t="s">
        <v>645</v>
      </c>
      <c r="J2" s="491" t="s">
        <v>646</v>
      </c>
      <c r="K2" s="491" t="s">
        <v>647</v>
      </c>
      <c r="L2" s="491" t="s">
        <v>415</v>
      </c>
      <c r="M2" s="493" t="s">
        <v>669</v>
      </c>
      <c r="N2" s="494" t="s">
        <v>644</v>
      </c>
    </row>
    <row r="3" spans="2:14">
      <c r="B3" s="475" t="s">
        <v>14</v>
      </c>
      <c r="C3" s="472" t="s">
        <v>467</v>
      </c>
      <c r="D3" s="472" t="s">
        <v>16</v>
      </c>
      <c r="E3" s="499">
        <v>4</v>
      </c>
      <c r="F3" s="500">
        <v>17.709</v>
      </c>
      <c r="G3" s="497">
        <v>0.69</v>
      </c>
      <c r="H3" s="497">
        <v>12219.21</v>
      </c>
      <c r="I3" s="497" t="s">
        <v>499</v>
      </c>
      <c r="J3" s="497" t="s">
        <v>396</v>
      </c>
      <c r="K3" s="497" t="s">
        <v>672</v>
      </c>
      <c r="L3" s="497" t="s">
        <v>394</v>
      </c>
      <c r="M3" s="472" t="s">
        <v>408</v>
      </c>
      <c r="N3" s="472" t="s">
        <v>671</v>
      </c>
    </row>
    <row r="4" spans="2:14">
      <c r="B4" s="475" t="s">
        <v>493</v>
      </c>
      <c r="C4" s="472" t="s">
        <v>473</v>
      </c>
      <c r="D4" s="472" t="s">
        <v>17</v>
      </c>
      <c r="E4" s="499">
        <v>1</v>
      </c>
      <c r="F4" s="500">
        <v>57.23</v>
      </c>
      <c r="G4" s="497">
        <v>537</v>
      </c>
      <c r="H4" s="497">
        <v>30732.51</v>
      </c>
      <c r="I4" s="497" t="s">
        <v>499</v>
      </c>
      <c r="J4" s="497" t="s">
        <v>396</v>
      </c>
      <c r="K4" s="497" t="s">
        <v>672</v>
      </c>
      <c r="L4" s="497" t="s">
        <v>394</v>
      </c>
      <c r="M4" s="472" t="s">
        <v>408</v>
      </c>
      <c r="N4" s="472" t="s">
        <v>671</v>
      </c>
    </row>
    <row r="5" spans="2:14">
      <c r="B5" s="475" t="s">
        <v>576</v>
      </c>
      <c r="C5" s="472" t="s">
        <v>658</v>
      </c>
      <c r="D5" s="472" t="s">
        <v>567</v>
      </c>
      <c r="E5" s="499">
        <v>8</v>
      </c>
      <c r="F5" s="500">
        <v>2</v>
      </c>
      <c r="G5" s="497">
        <v>12</v>
      </c>
      <c r="H5" s="497">
        <v>96</v>
      </c>
      <c r="I5" s="497" t="s">
        <v>499</v>
      </c>
      <c r="J5" s="497" t="s">
        <v>396</v>
      </c>
      <c r="K5" s="497" t="s">
        <v>672</v>
      </c>
      <c r="L5" s="497" t="s">
        <v>394</v>
      </c>
      <c r="M5" s="472" t="s">
        <v>408</v>
      </c>
      <c r="N5" s="472" t="s">
        <v>671</v>
      </c>
    </row>
    <row r="6" spans="2:14">
      <c r="B6" s="475" t="s">
        <v>12</v>
      </c>
      <c r="C6" s="472" t="s">
        <v>467</v>
      </c>
      <c r="D6" s="472" t="s">
        <v>16</v>
      </c>
      <c r="E6" s="499">
        <v>4</v>
      </c>
      <c r="F6" s="500">
        <v>17.643000000000001</v>
      </c>
      <c r="G6" s="497">
        <v>1.36</v>
      </c>
      <c r="H6" s="497">
        <v>23994.480000000003</v>
      </c>
      <c r="I6" s="497" t="s">
        <v>499</v>
      </c>
      <c r="J6" s="497" t="s">
        <v>396</v>
      </c>
      <c r="K6" s="497" t="s">
        <v>672</v>
      </c>
      <c r="L6" s="497" t="s">
        <v>391</v>
      </c>
      <c r="M6" s="472" t="s">
        <v>408</v>
      </c>
      <c r="N6" s="472" t="s">
        <v>673</v>
      </c>
    </row>
    <row r="7" spans="2:14">
      <c r="B7" s="475" t="s">
        <v>9</v>
      </c>
      <c r="C7" s="472" t="s">
        <v>467</v>
      </c>
      <c r="D7" s="472" t="s">
        <v>16</v>
      </c>
      <c r="E7" s="499">
        <v>4</v>
      </c>
      <c r="F7" s="500">
        <v>18.706</v>
      </c>
      <c r="G7" s="497">
        <v>0.91</v>
      </c>
      <c r="H7" s="497">
        <v>17022.46</v>
      </c>
      <c r="I7" s="497" t="s">
        <v>499</v>
      </c>
      <c r="J7" s="497" t="s">
        <v>396</v>
      </c>
      <c r="K7" s="497" t="s">
        <v>672</v>
      </c>
      <c r="L7" s="497" t="s">
        <v>391</v>
      </c>
      <c r="M7" s="472" t="s">
        <v>408</v>
      </c>
      <c r="N7" s="472" t="s">
        <v>673</v>
      </c>
    </row>
    <row r="8" spans="2:14">
      <c r="B8" s="475" t="s">
        <v>14</v>
      </c>
      <c r="C8" s="472" t="s">
        <v>467</v>
      </c>
      <c r="D8" s="472" t="s">
        <v>16</v>
      </c>
      <c r="E8" s="499">
        <v>4</v>
      </c>
      <c r="F8" s="500">
        <v>18.425999999999998</v>
      </c>
      <c r="G8" s="497">
        <v>0.69</v>
      </c>
      <c r="H8" s="497">
        <v>12713.939999999997</v>
      </c>
      <c r="I8" s="497" t="s">
        <v>499</v>
      </c>
      <c r="J8" s="497" t="s">
        <v>396</v>
      </c>
      <c r="K8" s="497" t="s">
        <v>672</v>
      </c>
      <c r="L8" s="497" t="s">
        <v>391</v>
      </c>
      <c r="M8" s="472" t="s">
        <v>408</v>
      </c>
      <c r="N8" s="472" t="s">
        <v>673</v>
      </c>
    </row>
    <row r="9" spans="2:14">
      <c r="B9" s="475" t="s">
        <v>11</v>
      </c>
      <c r="C9" s="472" t="s">
        <v>467</v>
      </c>
      <c r="D9" s="472" t="s">
        <v>17</v>
      </c>
      <c r="E9" s="499">
        <v>1</v>
      </c>
      <c r="F9" s="500">
        <v>19.756</v>
      </c>
      <c r="G9" s="497">
        <v>6</v>
      </c>
      <c r="H9" s="497">
        <v>118.536</v>
      </c>
      <c r="I9" s="497" t="s">
        <v>499</v>
      </c>
      <c r="J9" s="497" t="s">
        <v>396</v>
      </c>
      <c r="K9" s="497" t="s">
        <v>672</v>
      </c>
      <c r="L9" s="497" t="s">
        <v>391</v>
      </c>
      <c r="M9" s="472" t="s">
        <v>408</v>
      </c>
      <c r="N9" s="472" t="s">
        <v>673</v>
      </c>
    </row>
    <row r="10" spans="2:14">
      <c r="B10" s="475" t="s">
        <v>15</v>
      </c>
      <c r="C10" s="472" t="s">
        <v>467</v>
      </c>
      <c r="D10" s="472" t="s">
        <v>16</v>
      </c>
      <c r="E10" s="499">
        <v>4</v>
      </c>
      <c r="F10" s="500">
        <v>18.207999999999998</v>
      </c>
      <c r="G10" s="497">
        <v>0.91</v>
      </c>
      <c r="H10" s="497">
        <v>16569.28</v>
      </c>
      <c r="I10" s="497" t="s">
        <v>499</v>
      </c>
      <c r="J10" s="497" t="s">
        <v>396</v>
      </c>
      <c r="K10" s="497" t="s">
        <v>672</v>
      </c>
      <c r="L10" s="497" t="s">
        <v>391</v>
      </c>
      <c r="M10" s="472" t="s">
        <v>408</v>
      </c>
      <c r="N10" s="472" t="s">
        <v>673</v>
      </c>
    </row>
    <row r="11" spans="2:14">
      <c r="B11" s="475" t="s">
        <v>13</v>
      </c>
      <c r="C11" s="472" t="s">
        <v>467</v>
      </c>
      <c r="D11" s="472" t="s">
        <v>16</v>
      </c>
      <c r="E11" s="499">
        <v>1</v>
      </c>
      <c r="F11" s="500">
        <v>1.234</v>
      </c>
      <c r="G11" s="497">
        <v>18.18</v>
      </c>
      <c r="H11" s="497">
        <v>22434.12</v>
      </c>
      <c r="I11" s="497" t="s">
        <v>499</v>
      </c>
      <c r="J11" s="497" t="s">
        <v>396</v>
      </c>
      <c r="K11" s="497" t="s">
        <v>672</v>
      </c>
      <c r="L11" s="497" t="s">
        <v>391</v>
      </c>
      <c r="M11" s="472" t="s">
        <v>408</v>
      </c>
      <c r="N11" s="472" t="s">
        <v>673</v>
      </c>
    </row>
    <row r="12" spans="2:14">
      <c r="B12" s="475" t="s">
        <v>12</v>
      </c>
      <c r="C12" s="472" t="s">
        <v>467</v>
      </c>
      <c r="D12" s="472" t="s">
        <v>16</v>
      </c>
      <c r="E12" s="472">
        <v>4</v>
      </c>
      <c r="F12" s="472">
        <v>17.643000000000001</v>
      </c>
      <c r="G12" s="472">
        <v>1.36</v>
      </c>
      <c r="H12" s="472">
        <v>23994.480000000003</v>
      </c>
      <c r="I12" s="472" t="s">
        <v>499</v>
      </c>
      <c r="J12" s="472" t="s">
        <v>396</v>
      </c>
      <c r="K12" s="472" t="s">
        <v>672</v>
      </c>
      <c r="L12" s="472" t="s">
        <v>391</v>
      </c>
      <c r="M12" s="472" t="s">
        <v>408</v>
      </c>
      <c r="N12" s="472" t="s">
        <v>673</v>
      </c>
    </row>
    <row r="13" spans="2:14">
      <c r="B13" s="475" t="s">
        <v>9</v>
      </c>
      <c r="C13" s="472" t="s">
        <v>467</v>
      </c>
      <c r="D13" s="472" t="s">
        <v>16</v>
      </c>
      <c r="E13" s="472">
        <v>4</v>
      </c>
      <c r="F13" s="472">
        <v>18.706</v>
      </c>
      <c r="G13" s="472">
        <v>0.91</v>
      </c>
      <c r="H13" s="472">
        <v>17022.46</v>
      </c>
      <c r="I13" s="472" t="s">
        <v>499</v>
      </c>
      <c r="J13" s="472" t="s">
        <v>396</v>
      </c>
      <c r="K13" s="472" t="s">
        <v>672</v>
      </c>
      <c r="L13" s="472" t="s">
        <v>391</v>
      </c>
      <c r="M13" s="472" t="s">
        <v>408</v>
      </c>
      <c r="N13" s="472" t="s">
        <v>673</v>
      </c>
    </row>
    <row r="14" spans="2:14">
      <c r="B14" s="475" t="s">
        <v>14</v>
      </c>
      <c r="C14" s="472" t="s">
        <v>467</v>
      </c>
      <c r="D14" s="472" t="s">
        <v>16</v>
      </c>
      <c r="E14" s="472">
        <v>4</v>
      </c>
      <c r="F14" s="472">
        <v>18.425999999999998</v>
      </c>
      <c r="G14" s="472">
        <v>0.69</v>
      </c>
      <c r="H14" s="472">
        <v>12713.939999999997</v>
      </c>
      <c r="I14" s="472" t="s">
        <v>499</v>
      </c>
      <c r="J14" s="472" t="s">
        <v>396</v>
      </c>
      <c r="K14" s="472" t="s">
        <v>672</v>
      </c>
      <c r="L14" s="472" t="s">
        <v>391</v>
      </c>
      <c r="M14" s="472" t="s">
        <v>408</v>
      </c>
      <c r="N14" s="472" t="s">
        <v>673</v>
      </c>
    </row>
    <row r="15" spans="2:14">
      <c r="B15" s="475" t="s">
        <v>11</v>
      </c>
      <c r="C15" s="472" t="s">
        <v>467</v>
      </c>
      <c r="D15" s="472" t="s">
        <v>17</v>
      </c>
      <c r="E15" s="472">
        <v>1</v>
      </c>
      <c r="F15" s="472">
        <v>19.756</v>
      </c>
      <c r="G15" s="472">
        <v>6</v>
      </c>
      <c r="H15" s="472">
        <v>118.536</v>
      </c>
      <c r="I15" s="472" t="s">
        <v>499</v>
      </c>
      <c r="J15" s="472" t="s">
        <v>396</v>
      </c>
      <c r="K15" s="472" t="s">
        <v>672</v>
      </c>
      <c r="L15" s="472" t="s">
        <v>391</v>
      </c>
      <c r="M15" s="472" t="s">
        <v>408</v>
      </c>
      <c r="N15" s="472" t="s">
        <v>673</v>
      </c>
    </row>
    <row r="16" spans="2:14">
      <c r="B16" s="475" t="s">
        <v>15</v>
      </c>
      <c r="C16" s="472" t="s">
        <v>467</v>
      </c>
      <c r="D16" s="472" t="s">
        <v>16</v>
      </c>
      <c r="E16" s="472">
        <v>4</v>
      </c>
      <c r="F16" s="472">
        <v>18.207999999999998</v>
      </c>
      <c r="G16" s="472">
        <v>0.91</v>
      </c>
      <c r="H16" s="472">
        <v>16569.28</v>
      </c>
      <c r="I16" s="472" t="s">
        <v>499</v>
      </c>
      <c r="J16" s="472" t="s">
        <v>396</v>
      </c>
      <c r="K16" s="472" t="s">
        <v>672</v>
      </c>
      <c r="L16" s="472" t="s">
        <v>391</v>
      </c>
      <c r="M16" s="472" t="s">
        <v>408</v>
      </c>
      <c r="N16" s="472" t="s">
        <v>673</v>
      </c>
    </row>
    <row r="17" spans="2:14">
      <c r="B17" s="475" t="s">
        <v>13</v>
      </c>
      <c r="C17" s="472" t="s">
        <v>467</v>
      </c>
      <c r="D17" s="472" t="s">
        <v>16</v>
      </c>
      <c r="E17" s="472">
        <v>1</v>
      </c>
      <c r="F17" s="472">
        <v>1.234</v>
      </c>
      <c r="G17" s="472">
        <v>18.18</v>
      </c>
      <c r="H17" s="472">
        <v>22434.12</v>
      </c>
      <c r="I17" s="472" t="s">
        <v>499</v>
      </c>
      <c r="J17" s="472" t="s">
        <v>396</v>
      </c>
      <c r="K17" s="472" t="s">
        <v>672</v>
      </c>
      <c r="L17" s="472" t="s">
        <v>391</v>
      </c>
      <c r="M17" s="472" t="s">
        <v>408</v>
      </c>
      <c r="N17" s="472" t="s">
        <v>673</v>
      </c>
    </row>
    <row r="18" spans="2:14">
      <c r="C18" s="472" t="s">
        <v>670</v>
      </c>
      <c r="D18" s="472" t="s">
        <v>670</v>
      </c>
      <c r="E18" s="472" t="s">
        <v>670</v>
      </c>
      <c r="F18" s="472" t="s">
        <v>670</v>
      </c>
      <c r="H18" s="472" t="s">
        <v>670</v>
      </c>
      <c r="I18" s="472" t="s">
        <v>539</v>
      </c>
      <c r="J18" s="472" t="s">
        <v>539</v>
      </c>
      <c r="K18" s="472" t="s">
        <v>539</v>
      </c>
      <c r="L18" s="472" t="s">
        <v>539</v>
      </c>
      <c r="M18" s="472" t="s">
        <v>670</v>
      </c>
      <c r="N18" s="472" t="s">
        <v>670</v>
      </c>
    </row>
    <row r="19" spans="2:14">
      <c r="C19" s="472" t="s">
        <v>670</v>
      </c>
      <c r="D19" s="472" t="s">
        <v>670</v>
      </c>
      <c r="E19" s="472" t="s">
        <v>670</v>
      </c>
      <c r="F19" s="472" t="s">
        <v>670</v>
      </c>
      <c r="H19" s="472" t="s">
        <v>670</v>
      </c>
      <c r="I19" s="472" t="s">
        <v>539</v>
      </c>
      <c r="J19" s="472" t="s">
        <v>539</v>
      </c>
      <c r="K19" s="472" t="s">
        <v>539</v>
      </c>
      <c r="L19" s="472" t="s">
        <v>539</v>
      </c>
      <c r="M19" s="472" t="s">
        <v>670</v>
      </c>
      <c r="N19" s="472" t="s">
        <v>670</v>
      </c>
    </row>
    <row r="20" spans="2:14">
      <c r="C20" s="472" t="s">
        <v>670</v>
      </c>
      <c r="D20" s="472" t="s">
        <v>670</v>
      </c>
      <c r="E20" s="472" t="s">
        <v>670</v>
      </c>
      <c r="F20" s="472" t="s">
        <v>670</v>
      </c>
      <c r="H20" s="472" t="s">
        <v>670</v>
      </c>
      <c r="I20" s="472" t="s">
        <v>539</v>
      </c>
      <c r="J20" s="472" t="s">
        <v>539</v>
      </c>
      <c r="K20" s="472" t="s">
        <v>539</v>
      </c>
      <c r="L20" s="472" t="s">
        <v>539</v>
      </c>
      <c r="M20" s="472" t="s">
        <v>670</v>
      </c>
      <c r="N20" s="472" t="s">
        <v>670</v>
      </c>
    </row>
    <row r="21" spans="2:14">
      <c r="C21" s="472" t="s">
        <v>670</v>
      </c>
      <c r="D21" s="472" t="s">
        <v>670</v>
      </c>
      <c r="E21" s="472" t="s">
        <v>670</v>
      </c>
      <c r="F21" s="472" t="s">
        <v>670</v>
      </c>
      <c r="H21" s="472" t="s">
        <v>670</v>
      </c>
      <c r="I21" s="472" t="s">
        <v>539</v>
      </c>
      <c r="J21" s="472" t="s">
        <v>539</v>
      </c>
      <c r="K21" s="472" t="s">
        <v>539</v>
      </c>
      <c r="L21" s="472" t="s">
        <v>539</v>
      </c>
      <c r="M21" s="472" t="s">
        <v>670</v>
      </c>
      <c r="N21" s="472" t="s">
        <v>670</v>
      </c>
    </row>
    <row r="22" spans="2:14">
      <c r="C22" s="472" t="s">
        <v>670</v>
      </c>
      <c r="D22" s="472" t="s">
        <v>670</v>
      </c>
      <c r="E22" s="472" t="s">
        <v>670</v>
      </c>
      <c r="F22" s="472" t="s">
        <v>670</v>
      </c>
      <c r="H22" s="472" t="s">
        <v>670</v>
      </c>
      <c r="I22" s="472" t="s">
        <v>539</v>
      </c>
      <c r="J22" s="472" t="s">
        <v>539</v>
      </c>
      <c r="K22" s="472" t="s">
        <v>539</v>
      </c>
      <c r="L22" s="472" t="s">
        <v>539</v>
      </c>
      <c r="M22" s="472" t="s">
        <v>670</v>
      </c>
      <c r="N22" s="472" t="s">
        <v>670</v>
      </c>
    </row>
    <row r="23" spans="2:14">
      <c r="C23" s="472" t="s">
        <v>670</v>
      </c>
      <c r="D23" s="472" t="s">
        <v>670</v>
      </c>
      <c r="E23" s="472" t="s">
        <v>670</v>
      </c>
      <c r="F23" s="472" t="s">
        <v>670</v>
      </c>
      <c r="H23" s="472" t="s">
        <v>670</v>
      </c>
      <c r="I23" s="472" t="s">
        <v>539</v>
      </c>
      <c r="J23" s="472" t="s">
        <v>539</v>
      </c>
      <c r="K23" s="472" t="s">
        <v>539</v>
      </c>
      <c r="L23" s="472" t="s">
        <v>539</v>
      </c>
      <c r="M23" s="472" t="s">
        <v>670</v>
      </c>
      <c r="N23" s="472" t="s">
        <v>670</v>
      </c>
    </row>
    <row r="24" spans="2:14">
      <c r="C24" s="472" t="s">
        <v>670</v>
      </c>
      <c r="D24" s="472" t="s">
        <v>670</v>
      </c>
      <c r="E24" s="472" t="s">
        <v>670</v>
      </c>
      <c r="F24" s="472" t="s">
        <v>670</v>
      </c>
      <c r="H24" s="472" t="s">
        <v>670</v>
      </c>
      <c r="I24" s="472" t="s">
        <v>539</v>
      </c>
      <c r="J24" s="472" t="s">
        <v>539</v>
      </c>
      <c r="K24" s="472" t="s">
        <v>539</v>
      </c>
      <c r="L24" s="472" t="s">
        <v>539</v>
      </c>
      <c r="M24" s="472" t="s">
        <v>670</v>
      </c>
      <c r="N24" s="472" t="s">
        <v>670</v>
      </c>
    </row>
    <row r="25" spans="2:14">
      <c r="C25" s="472" t="s">
        <v>670</v>
      </c>
      <c r="D25" s="472" t="s">
        <v>670</v>
      </c>
      <c r="E25" s="472" t="s">
        <v>670</v>
      </c>
      <c r="F25" s="472" t="s">
        <v>670</v>
      </c>
      <c r="H25" s="472" t="s">
        <v>670</v>
      </c>
      <c r="I25" s="472" t="s">
        <v>539</v>
      </c>
      <c r="J25" s="472" t="s">
        <v>539</v>
      </c>
      <c r="K25" s="472" t="s">
        <v>539</v>
      </c>
      <c r="L25" s="472" t="s">
        <v>539</v>
      </c>
      <c r="M25" s="472" t="s">
        <v>670</v>
      </c>
      <c r="N25" s="472" t="s">
        <v>670</v>
      </c>
    </row>
    <row r="26" spans="2:14">
      <c r="C26" s="472" t="s">
        <v>670</v>
      </c>
      <c r="D26" s="472" t="s">
        <v>670</v>
      </c>
      <c r="E26" s="472" t="s">
        <v>670</v>
      </c>
      <c r="F26" s="472" t="s">
        <v>670</v>
      </c>
      <c r="H26" s="472" t="s">
        <v>670</v>
      </c>
      <c r="I26" s="472" t="s">
        <v>539</v>
      </c>
      <c r="J26" s="472" t="s">
        <v>539</v>
      </c>
      <c r="K26" s="472" t="s">
        <v>539</v>
      </c>
      <c r="L26" s="472" t="s">
        <v>539</v>
      </c>
      <c r="M26" s="472" t="s">
        <v>670</v>
      </c>
      <c r="N26" s="472" t="s">
        <v>670</v>
      </c>
    </row>
    <row r="27" spans="2:14">
      <c r="C27" s="472" t="s">
        <v>670</v>
      </c>
      <c r="D27" s="472" t="s">
        <v>670</v>
      </c>
      <c r="E27" s="472" t="s">
        <v>670</v>
      </c>
      <c r="F27" s="472" t="s">
        <v>670</v>
      </c>
      <c r="H27" s="472" t="s">
        <v>670</v>
      </c>
      <c r="I27" s="472" t="s">
        <v>539</v>
      </c>
      <c r="J27" s="472" t="s">
        <v>539</v>
      </c>
      <c r="K27" s="472" t="s">
        <v>539</v>
      </c>
      <c r="L27" s="472" t="s">
        <v>539</v>
      </c>
      <c r="M27" s="472" t="s">
        <v>670</v>
      </c>
      <c r="N27" s="472" t="s">
        <v>670</v>
      </c>
    </row>
    <row r="28" spans="2:14">
      <c r="C28" s="472" t="s">
        <v>670</v>
      </c>
      <c r="D28" s="472" t="s">
        <v>670</v>
      </c>
      <c r="E28" s="472" t="s">
        <v>670</v>
      </c>
      <c r="F28" s="472" t="s">
        <v>670</v>
      </c>
      <c r="H28" s="472" t="s">
        <v>670</v>
      </c>
      <c r="I28" s="472" t="s">
        <v>539</v>
      </c>
      <c r="J28" s="472" t="s">
        <v>539</v>
      </c>
      <c r="K28" s="472" t="s">
        <v>539</v>
      </c>
      <c r="L28" s="472" t="s">
        <v>539</v>
      </c>
      <c r="M28" s="472" t="s">
        <v>670</v>
      </c>
      <c r="N28" s="472" t="s">
        <v>670</v>
      </c>
    </row>
    <row r="29" spans="2:14">
      <c r="C29" s="472" t="s">
        <v>670</v>
      </c>
      <c r="D29" s="472" t="s">
        <v>670</v>
      </c>
      <c r="E29" s="472" t="s">
        <v>670</v>
      </c>
      <c r="F29" s="472" t="s">
        <v>670</v>
      </c>
      <c r="H29" s="472" t="s">
        <v>670</v>
      </c>
      <c r="I29" s="472" t="s">
        <v>539</v>
      </c>
      <c r="J29" s="472" t="s">
        <v>539</v>
      </c>
      <c r="K29" s="472" t="s">
        <v>539</v>
      </c>
      <c r="L29" s="472" t="s">
        <v>539</v>
      </c>
      <c r="M29" s="472" t="s">
        <v>670</v>
      </c>
      <c r="N29" s="472" t="s">
        <v>670</v>
      </c>
    </row>
    <row r="30" spans="2:14">
      <c r="C30" s="472" t="s">
        <v>670</v>
      </c>
      <c r="D30" s="472" t="s">
        <v>670</v>
      </c>
      <c r="E30" s="472" t="s">
        <v>670</v>
      </c>
      <c r="F30" s="472" t="s">
        <v>670</v>
      </c>
      <c r="H30" s="472" t="s">
        <v>670</v>
      </c>
      <c r="I30" s="472" t="s">
        <v>539</v>
      </c>
      <c r="J30" s="472" t="s">
        <v>539</v>
      </c>
      <c r="K30" s="472" t="s">
        <v>539</v>
      </c>
      <c r="L30" s="472" t="s">
        <v>539</v>
      </c>
      <c r="M30" s="472" t="s">
        <v>670</v>
      </c>
      <c r="N30" s="472" t="s">
        <v>670</v>
      </c>
    </row>
    <row r="31" spans="2:14">
      <c r="C31" s="472" t="s">
        <v>670</v>
      </c>
      <c r="D31" s="472" t="s">
        <v>670</v>
      </c>
      <c r="E31" s="472" t="s">
        <v>670</v>
      </c>
      <c r="F31" s="472" t="s">
        <v>670</v>
      </c>
      <c r="H31" s="472" t="s">
        <v>670</v>
      </c>
      <c r="I31" s="472" t="s">
        <v>539</v>
      </c>
      <c r="J31" s="472" t="s">
        <v>539</v>
      </c>
      <c r="K31" s="472" t="s">
        <v>539</v>
      </c>
      <c r="L31" s="472" t="s">
        <v>539</v>
      </c>
      <c r="M31" s="472" t="s">
        <v>670</v>
      </c>
      <c r="N31" s="472" t="s">
        <v>670</v>
      </c>
    </row>
    <row r="32" spans="2:14">
      <c r="C32" s="472" t="s">
        <v>670</v>
      </c>
      <c r="D32" s="472" t="s">
        <v>670</v>
      </c>
      <c r="E32" s="472" t="s">
        <v>670</v>
      </c>
      <c r="F32" s="472" t="s">
        <v>670</v>
      </c>
      <c r="H32" s="472" t="s">
        <v>670</v>
      </c>
      <c r="I32" s="472" t="s">
        <v>539</v>
      </c>
      <c r="J32" s="472" t="s">
        <v>539</v>
      </c>
      <c r="K32" s="472" t="s">
        <v>539</v>
      </c>
      <c r="L32" s="472" t="s">
        <v>539</v>
      </c>
      <c r="M32" s="472" t="s">
        <v>670</v>
      </c>
      <c r="N32" s="472" t="s">
        <v>670</v>
      </c>
    </row>
    <row r="33" spans="3:14">
      <c r="C33" s="472" t="s">
        <v>670</v>
      </c>
      <c r="D33" s="472" t="s">
        <v>670</v>
      </c>
      <c r="E33" s="472" t="s">
        <v>670</v>
      </c>
      <c r="F33" s="472" t="s">
        <v>670</v>
      </c>
      <c r="H33" s="472" t="s">
        <v>670</v>
      </c>
      <c r="I33" s="472" t="s">
        <v>539</v>
      </c>
      <c r="J33" s="472" t="s">
        <v>539</v>
      </c>
      <c r="K33" s="472" t="s">
        <v>539</v>
      </c>
      <c r="L33" s="472" t="s">
        <v>539</v>
      </c>
      <c r="M33" s="472" t="s">
        <v>670</v>
      </c>
      <c r="N33" s="472" t="s">
        <v>670</v>
      </c>
    </row>
    <row r="34" spans="3:14">
      <c r="C34" s="472" t="s">
        <v>670</v>
      </c>
      <c r="D34" s="472" t="s">
        <v>670</v>
      </c>
      <c r="E34" s="472" t="s">
        <v>670</v>
      </c>
      <c r="F34" s="472" t="s">
        <v>670</v>
      </c>
      <c r="H34" s="472" t="s">
        <v>670</v>
      </c>
      <c r="I34" s="472" t="s">
        <v>539</v>
      </c>
      <c r="J34" s="472" t="s">
        <v>539</v>
      </c>
      <c r="K34" s="472" t="s">
        <v>539</v>
      </c>
      <c r="L34" s="472" t="s">
        <v>539</v>
      </c>
      <c r="M34" s="472" t="s">
        <v>670</v>
      </c>
      <c r="N34" s="472" t="s">
        <v>670</v>
      </c>
    </row>
    <row r="35" spans="3:14">
      <c r="C35" s="472" t="s">
        <v>670</v>
      </c>
      <c r="D35" s="472" t="s">
        <v>670</v>
      </c>
      <c r="E35" s="472" t="s">
        <v>670</v>
      </c>
      <c r="F35" s="472" t="s">
        <v>670</v>
      </c>
      <c r="H35" s="472" t="s">
        <v>670</v>
      </c>
      <c r="I35" s="472" t="s">
        <v>539</v>
      </c>
      <c r="J35" s="472" t="s">
        <v>539</v>
      </c>
      <c r="K35" s="472" t="s">
        <v>539</v>
      </c>
      <c r="L35" s="472" t="s">
        <v>539</v>
      </c>
      <c r="M35" s="472" t="s">
        <v>670</v>
      </c>
      <c r="N35" s="472" t="s">
        <v>670</v>
      </c>
    </row>
    <row r="36" spans="3:14">
      <c r="C36" s="472" t="s">
        <v>670</v>
      </c>
      <c r="D36" s="472" t="s">
        <v>670</v>
      </c>
      <c r="E36" s="472" t="s">
        <v>670</v>
      </c>
      <c r="F36" s="472" t="s">
        <v>670</v>
      </c>
      <c r="H36" s="472" t="s">
        <v>670</v>
      </c>
      <c r="I36" s="472" t="s">
        <v>539</v>
      </c>
      <c r="J36" s="472" t="s">
        <v>539</v>
      </c>
      <c r="K36" s="472" t="s">
        <v>539</v>
      </c>
      <c r="L36" s="472" t="s">
        <v>539</v>
      </c>
      <c r="M36" s="472" t="s">
        <v>670</v>
      </c>
      <c r="N36" s="472" t="s">
        <v>670</v>
      </c>
    </row>
    <row r="37" spans="3:14">
      <c r="C37" s="472" t="s">
        <v>670</v>
      </c>
      <c r="D37" s="472" t="s">
        <v>670</v>
      </c>
      <c r="E37" s="472" t="s">
        <v>670</v>
      </c>
      <c r="F37" s="472" t="s">
        <v>670</v>
      </c>
      <c r="H37" s="472" t="s">
        <v>670</v>
      </c>
      <c r="I37" s="472" t="s">
        <v>539</v>
      </c>
      <c r="J37" s="472" t="s">
        <v>539</v>
      </c>
      <c r="K37" s="472" t="s">
        <v>539</v>
      </c>
      <c r="L37" s="472" t="s">
        <v>539</v>
      </c>
      <c r="M37" s="472" t="s">
        <v>670</v>
      </c>
      <c r="N37" s="472" t="s">
        <v>670</v>
      </c>
    </row>
    <row r="38" spans="3:14">
      <c r="C38" s="472" t="s">
        <v>670</v>
      </c>
      <c r="D38" s="472" t="s">
        <v>670</v>
      </c>
      <c r="E38" s="472" t="s">
        <v>670</v>
      </c>
      <c r="F38" s="472" t="s">
        <v>670</v>
      </c>
      <c r="H38" s="472" t="s">
        <v>670</v>
      </c>
      <c r="I38" s="472" t="s">
        <v>539</v>
      </c>
      <c r="J38" s="472" t="s">
        <v>539</v>
      </c>
      <c r="K38" s="472" t="s">
        <v>539</v>
      </c>
      <c r="L38" s="472" t="s">
        <v>539</v>
      </c>
      <c r="M38" s="472" t="s">
        <v>670</v>
      </c>
      <c r="N38" s="472" t="s">
        <v>670</v>
      </c>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0">
    <tabColor theme="9"/>
  </sheetPr>
  <dimension ref="A1:Q31"/>
  <sheetViews>
    <sheetView showGridLines="0" tabSelected="1" workbookViewId="0">
      <selection activeCell="K15" sqref="K15"/>
    </sheetView>
  </sheetViews>
  <sheetFormatPr baseColWidth="10" defaultColWidth="11.5703125" defaultRowHeight="12.75"/>
  <cols>
    <col min="1" max="1" width="1.7109375" style="458" customWidth="1"/>
    <col min="2" max="2" width="30.5703125" style="458" hidden="1" customWidth="1"/>
    <col min="3" max="3" width="30.7109375" style="182" hidden="1" customWidth="1"/>
    <col min="4" max="4" width="43.5703125" style="458" customWidth="1"/>
    <col min="5" max="5" width="8.42578125" style="471" customWidth="1"/>
    <col min="6" max="6" width="8.42578125" style="472" bestFit="1" customWidth="1"/>
    <col min="7" max="7" width="5.7109375" style="182" customWidth="1"/>
    <col min="8" max="9" width="11.5703125" style="182"/>
    <col min="10" max="10" width="14.42578125" style="182" customWidth="1"/>
    <col min="11" max="11" width="8.140625" style="182" bestFit="1" customWidth="1"/>
    <col min="12" max="12" width="5.5703125" style="182" bestFit="1" customWidth="1"/>
    <col min="13" max="13" width="6.42578125" style="182" bestFit="1" customWidth="1"/>
    <col min="14" max="14" width="6" style="182" bestFit="1" customWidth="1"/>
    <col min="15" max="15" width="18.28515625" style="182" customWidth="1"/>
    <col min="16" max="16" width="19.42578125" style="182" bestFit="1" customWidth="1"/>
    <col min="17" max="16384" width="11.5703125" style="458"/>
  </cols>
  <sheetData>
    <row r="1" spans="1:17" ht="13.5" thickBot="1">
      <c r="O1" s="476"/>
    </row>
    <row r="2" spans="1:17" s="459" customFormat="1" ht="25.5">
      <c r="B2" s="428" t="s">
        <v>644</v>
      </c>
      <c r="C2" s="487" t="s">
        <v>669</v>
      </c>
      <c r="D2" s="488" t="s">
        <v>20</v>
      </c>
      <c r="E2" s="460" t="s">
        <v>466</v>
      </c>
      <c r="F2" s="186" t="s">
        <v>614</v>
      </c>
      <c r="G2" s="186" t="s">
        <v>613</v>
      </c>
      <c r="H2" s="187" t="s">
        <v>617</v>
      </c>
      <c r="I2" s="186" t="s">
        <v>503</v>
      </c>
      <c r="J2" s="186" t="s">
        <v>497</v>
      </c>
      <c r="K2" s="186" t="s">
        <v>645</v>
      </c>
      <c r="L2" s="186" t="s">
        <v>646</v>
      </c>
      <c r="M2" s="186" t="s">
        <v>647</v>
      </c>
      <c r="N2" s="186" t="s">
        <v>415</v>
      </c>
      <c r="O2" s="457" t="s">
        <v>669</v>
      </c>
      <c r="P2" s="489" t="s">
        <v>644</v>
      </c>
    </row>
    <row r="3" spans="1:17">
      <c r="A3" s="182"/>
      <c r="B3" s="468" t="s">
        <v>673</v>
      </c>
      <c r="C3" s="501" t="s">
        <v>408</v>
      </c>
      <c r="D3" s="502" t="s">
        <v>12</v>
      </c>
      <c r="E3" s="503" t="s">
        <v>467</v>
      </c>
      <c r="F3" s="504" t="s">
        <v>16</v>
      </c>
      <c r="G3" s="505">
        <v>4</v>
      </c>
      <c r="H3" s="506">
        <v>17.643000000000001</v>
      </c>
      <c r="I3" s="507">
        <v>1.36</v>
      </c>
      <c r="J3" s="508">
        <v>23994.480000000003</v>
      </c>
      <c r="K3" s="508" t="str">
        <f t="shared" ref="K3:K29" si="0">IF(ISBLANK(D3),"",MID(B3,1,2))</f>
        <v>CO</v>
      </c>
      <c r="L3" s="508" t="str">
        <f t="shared" ref="L3:L29" si="1">IF(ISBLANK(D3),"",MID(B3,9,2))</f>
        <v>08</v>
      </c>
      <c r="M3" s="508" t="str">
        <f>IF(ISBLANK(D3),"",CONCATENATE("20",MID(B3,7,2)))</f>
        <v>2018</v>
      </c>
      <c r="N3" s="508" t="str">
        <f t="shared" ref="N3:N29" si="2">IF(ISBLANK(D3),"",MID(B3,4,2))</f>
        <v>03</v>
      </c>
      <c r="O3" s="509" t="str">
        <f>IF(ISBLANK(D3)," ",IF(D3&lt;&gt;"",C3))</f>
        <v>USD - US Dollar</v>
      </c>
      <c r="P3" s="509" t="str">
        <f>IF(ISBLANK(D3)," ",IF(E3&lt;&gt;"",B3))</f>
        <v>CO 03 180801 130751</v>
      </c>
    </row>
    <row r="4" spans="1:17">
      <c r="A4" s="182"/>
      <c r="B4" s="468" t="s">
        <v>673</v>
      </c>
      <c r="C4" s="501" t="s">
        <v>408</v>
      </c>
      <c r="D4" s="502" t="s">
        <v>9</v>
      </c>
      <c r="E4" s="503" t="s">
        <v>467</v>
      </c>
      <c r="F4" s="504" t="s">
        <v>16</v>
      </c>
      <c r="G4" s="505">
        <v>4</v>
      </c>
      <c r="H4" s="506">
        <v>18.706</v>
      </c>
      <c r="I4" s="507">
        <v>0.91</v>
      </c>
      <c r="J4" s="508">
        <v>17022.46</v>
      </c>
      <c r="K4" s="508" t="str">
        <f t="shared" si="0"/>
        <v>CO</v>
      </c>
      <c r="L4" s="508" t="str">
        <f t="shared" si="1"/>
        <v>08</v>
      </c>
      <c r="M4" s="508" t="str">
        <f t="shared" ref="M4:M29" si="3">IF(ISBLANK(D4),"",CONCATENATE("20",MID(B4,7,2)))</f>
        <v>2018</v>
      </c>
      <c r="N4" s="508" t="str">
        <f t="shared" si="2"/>
        <v>03</v>
      </c>
      <c r="O4" s="509" t="str">
        <f t="shared" ref="O4:O29" si="4">IF(ISBLANK(D4)," ",IF(D4&lt;&gt;"",C4))</f>
        <v>USD - US Dollar</v>
      </c>
      <c r="P4" s="509" t="str">
        <f t="shared" ref="P4:P29" si="5">IF(ISBLANK(D4)," ",IF(E4&lt;&gt;"",B4))</f>
        <v>CO 03 180801 130751</v>
      </c>
    </row>
    <row r="5" spans="1:17">
      <c r="A5" s="182"/>
      <c r="B5" s="468" t="s">
        <v>673</v>
      </c>
      <c r="C5" s="501" t="s">
        <v>408</v>
      </c>
      <c r="D5" s="502" t="s">
        <v>14</v>
      </c>
      <c r="E5" s="503" t="s">
        <v>467</v>
      </c>
      <c r="F5" s="504" t="s">
        <v>16</v>
      </c>
      <c r="G5" s="505">
        <v>4</v>
      </c>
      <c r="H5" s="506">
        <v>18.425999999999998</v>
      </c>
      <c r="I5" s="507">
        <v>0.69</v>
      </c>
      <c r="J5" s="508">
        <v>12713.939999999997</v>
      </c>
      <c r="K5" s="508" t="str">
        <f t="shared" si="0"/>
        <v>CO</v>
      </c>
      <c r="L5" s="508" t="str">
        <f t="shared" si="1"/>
        <v>08</v>
      </c>
      <c r="M5" s="508" t="str">
        <f t="shared" si="3"/>
        <v>2018</v>
      </c>
      <c r="N5" s="508" t="str">
        <f t="shared" si="2"/>
        <v>03</v>
      </c>
      <c r="O5" s="509" t="str">
        <f t="shared" si="4"/>
        <v>USD - US Dollar</v>
      </c>
      <c r="P5" s="509" t="str">
        <f t="shared" si="5"/>
        <v>CO 03 180801 130751</v>
      </c>
    </row>
    <row r="6" spans="1:17" ht="15">
      <c r="A6" s="182"/>
      <c r="B6" s="468" t="s">
        <v>673</v>
      </c>
      <c r="C6" s="501" t="s">
        <v>408</v>
      </c>
      <c r="D6" s="502" t="s">
        <v>11</v>
      </c>
      <c r="E6" s="503" t="s">
        <v>467</v>
      </c>
      <c r="F6" s="504" t="s">
        <v>17</v>
      </c>
      <c r="G6" s="505">
        <v>1</v>
      </c>
      <c r="H6" s="506">
        <v>19.756</v>
      </c>
      <c r="I6" s="507">
        <v>6</v>
      </c>
      <c r="J6" s="508">
        <v>118.536</v>
      </c>
      <c r="K6" s="508" t="str">
        <f t="shared" si="0"/>
        <v>CO</v>
      </c>
      <c r="L6" s="508" t="str">
        <f t="shared" si="1"/>
        <v>08</v>
      </c>
      <c r="M6" s="508" t="str">
        <f t="shared" si="3"/>
        <v>2018</v>
      </c>
      <c r="N6" s="508" t="str">
        <f t="shared" si="2"/>
        <v>03</v>
      </c>
      <c r="O6" s="509" t="str">
        <f t="shared" si="4"/>
        <v>USD - US Dollar</v>
      </c>
      <c r="P6" s="509" t="str">
        <f t="shared" si="5"/>
        <v>CO 03 180801 130751</v>
      </c>
      <c r="Q6"/>
    </row>
    <row r="7" spans="1:17">
      <c r="A7" s="182"/>
      <c r="B7" s="468" t="s">
        <v>673</v>
      </c>
      <c r="C7" s="501" t="s">
        <v>408</v>
      </c>
      <c r="D7" s="502" t="s">
        <v>15</v>
      </c>
      <c r="E7" s="503" t="s">
        <v>467</v>
      </c>
      <c r="F7" s="504" t="s">
        <v>16</v>
      </c>
      <c r="G7" s="505">
        <v>4</v>
      </c>
      <c r="H7" s="506">
        <v>18.207999999999998</v>
      </c>
      <c r="I7" s="507">
        <v>0.91</v>
      </c>
      <c r="J7" s="508">
        <v>16569.28</v>
      </c>
      <c r="K7" s="508" t="str">
        <f t="shared" si="0"/>
        <v>CO</v>
      </c>
      <c r="L7" s="508" t="str">
        <f t="shared" si="1"/>
        <v>08</v>
      </c>
      <c r="M7" s="508" t="str">
        <f t="shared" si="3"/>
        <v>2018</v>
      </c>
      <c r="N7" s="508" t="str">
        <f t="shared" si="2"/>
        <v>03</v>
      </c>
      <c r="O7" s="509" t="str">
        <f t="shared" si="4"/>
        <v>USD - US Dollar</v>
      </c>
      <c r="P7" s="509" t="str">
        <f t="shared" si="5"/>
        <v>CO 03 180801 130751</v>
      </c>
    </row>
    <row r="8" spans="1:17">
      <c r="A8" s="182"/>
      <c r="B8" s="468" t="s">
        <v>673</v>
      </c>
      <c r="C8" s="501" t="s">
        <v>408</v>
      </c>
      <c r="D8" s="502" t="s">
        <v>13</v>
      </c>
      <c r="E8" s="503" t="s">
        <v>467</v>
      </c>
      <c r="F8" s="504" t="s">
        <v>16</v>
      </c>
      <c r="G8" s="505">
        <v>1</v>
      </c>
      <c r="H8" s="506">
        <v>1.234</v>
      </c>
      <c r="I8" s="507">
        <v>18.18</v>
      </c>
      <c r="J8" s="508">
        <v>22434.12</v>
      </c>
      <c r="K8" s="508" t="str">
        <f t="shared" si="0"/>
        <v>CO</v>
      </c>
      <c r="L8" s="508" t="str">
        <f t="shared" si="1"/>
        <v>08</v>
      </c>
      <c r="M8" s="508" t="str">
        <f t="shared" si="3"/>
        <v>2018</v>
      </c>
      <c r="N8" s="508" t="str">
        <f t="shared" si="2"/>
        <v>03</v>
      </c>
      <c r="O8" s="509" t="str">
        <f t="shared" si="4"/>
        <v>USD - US Dollar</v>
      </c>
      <c r="P8" s="509" t="str">
        <f t="shared" si="5"/>
        <v>CO 03 180801 130751</v>
      </c>
    </row>
    <row r="9" spans="1:17">
      <c r="A9" s="182"/>
      <c r="B9" s="468" t="s">
        <v>673</v>
      </c>
      <c r="C9" s="501" t="s">
        <v>408</v>
      </c>
      <c r="D9" s="502"/>
      <c r="E9" s="503" t="s">
        <v>670</v>
      </c>
      <c r="F9" s="504" t="s">
        <v>670</v>
      </c>
      <c r="G9" s="505" t="s">
        <v>670</v>
      </c>
      <c r="H9" s="506" t="s">
        <v>670</v>
      </c>
      <c r="I9" s="507"/>
      <c r="J9" s="508" t="s">
        <v>670</v>
      </c>
      <c r="K9" s="508" t="str">
        <f>IF(ISBLANK(D9),"",MID(B9,1,2))</f>
        <v/>
      </c>
      <c r="L9" s="508" t="str">
        <f t="shared" si="1"/>
        <v/>
      </c>
      <c r="M9" s="508" t="str">
        <f t="shared" si="3"/>
        <v/>
      </c>
      <c r="N9" s="508" t="str">
        <f t="shared" si="2"/>
        <v/>
      </c>
      <c r="O9" s="509" t="str">
        <f t="shared" si="4"/>
        <v xml:space="preserve"> </v>
      </c>
      <c r="P9" s="509" t="str">
        <f t="shared" si="5"/>
        <v xml:space="preserve"> </v>
      </c>
    </row>
    <row r="10" spans="1:17">
      <c r="A10" s="182"/>
      <c r="B10" s="468" t="s">
        <v>673</v>
      </c>
      <c r="C10" s="501" t="s">
        <v>408</v>
      </c>
      <c r="D10" s="502"/>
      <c r="E10" s="503" t="s">
        <v>670</v>
      </c>
      <c r="F10" s="504" t="s">
        <v>670</v>
      </c>
      <c r="G10" s="505" t="s">
        <v>670</v>
      </c>
      <c r="H10" s="506" t="s">
        <v>670</v>
      </c>
      <c r="I10" s="507"/>
      <c r="J10" s="508" t="s">
        <v>670</v>
      </c>
      <c r="K10" s="508" t="str">
        <f t="shared" si="0"/>
        <v/>
      </c>
      <c r="L10" s="508" t="str">
        <f t="shared" si="1"/>
        <v/>
      </c>
      <c r="M10" s="508" t="str">
        <f t="shared" si="3"/>
        <v/>
      </c>
      <c r="N10" s="508" t="str">
        <f t="shared" si="2"/>
        <v/>
      </c>
      <c r="O10" s="509" t="str">
        <f t="shared" si="4"/>
        <v xml:space="preserve"> </v>
      </c>
      <c r="P10" s="509" t="str">
        <f t="shared" si="5"/>
        <v xml:space="preserve"> </v>
      </c>
    </row>
    <row r="11" spans="1:17">
      <c r="A11" s="182"/>
      <c r="B11" s="468" t="s">
        <v>673</v>
      </c>
      <c r="C11" s="501" t="s">
        <v>408</v>
      </c>
      <c r="D11" s="502"/>
      <c r="E11" s="503" t="s">
        <v>670</v>
      </c>
      <c r="F11" s="504" t="s">
        <v>670</v>
      </c>
      <c r="G11" s="505" t="s">
        <v>670</v>
      </c>
      <c r="H11" s="506" t="s">
        <v>670</v>
      </c>
      <c r="I11" s="507"/>
      <c r="J11" s="508" t="s">
        <v>670</v>
      </c>
      <c r="K11" s="508" t="str">
        <f t="shared" si="0"/>
        <v/>
      </c>
      <c r="L11" s="508" t="str">
        <f t="shared" si="1"/>
        <v/>
      </c>
      <c r="M11" s="508" t="str">
        <f t="shared" si="3"/>
        <v/>
      </c>
      <c r="N11" s="508" t="str">
        <f t="shared" si="2"/>
        <v/>
      </c>
      <c r="O11" s="509" t="str">
        <f t="shared" si="4"/>
        <v xml:space="preserve"> </v>
      </c>
      <c r="P11" s="509" t="str">
        <f t="shared" si="5"/>
        <v xml:space="preserve"> </v>
      </c>
    </row>
    <row r="12" spans="1:17">
      <c r="A12" s="182"/>
      <c r="B12" s="468" t="s">
        <v>673</v>
      </c>
      <c r="C12" s="501" t="s">
        <v>408</v>
      </c>
      <c r="D12" s="502"/>
      <c r="E12" s="503" t="s">
        <v>670</v>
      </c>
      <c r="F12" s="504" t="s">
        <v>670</v>
      </c>
      <c r="G12" s="505" t="s">
        <v>670</v>
      </c>
      <c r="H12" s="506" t="s">
        <v>670</v>
      </c>
      <c r="I12" s="510"/>
      <c r="J12" s="508" t="s">
        <v>670</v>
      </c>
      <c r="K12" s="508" t="str">
        <f t="shared" si="0"/>
        <v/>
      </c>
      <c r="L12" s="508" t="str">
        <f t="shared" si="1"/>
        <v/>
      </c>
      <c r="M12" s="508" t="str">
        <f t="shared" si="3"/>
        <v/>
      </c>
      <c r="N12" s="508" t="str">
        <f t="shared" si="2"/>
        <v/>
      </c>
      <c r="O12" s="509" t="str">
        <f t="shared" si="4"/>
        <v xml:space="preserve"> </v>
      </c>
      <c r="P12" s="509" t="str">
        <f t="shared" si="5"/>
        <v xml:space="preserve"> </v>
      </c>
    </row>
    <row r="13" spans="1:17">
      <c r="A13" s="182"/>
      <c r="B13" s="468" t="s">
        <v>673</v>
      </c>
      <c r="C13" s="501" t="s">
        <v>408</v>
      </c>
      <c r="D13" s="502"/>
      <c r="E13" s="503" t="s">
        <v>670</v>
      </c>
      <c r="F13" s="504" t="s">
        <v>670</v>
      </c>
      <c r="G13" s="505" t="s">
        <v>670</v>
      </c>
      <c r="H13" s="506" t="s">
        <v>670</v>
      </c>
      <c r="I13" s="507"/>
      <c r="J13" s="508" t="s">
        <v>670</v>
      </c>
      <c r="K13" s="508" t="str">
        <f t="shared" si="0"/>
        <v/>
      </c>
      <c r="L13" s="508" t="str">
        <f t="shared" si="1"/>
        <v/>
      </c>
      <c r="M13" s="508" t="str">
        <f t="shared" si="3"/>
        <v/>
      </c>
      <c r="N13" s="508" t="str">
        <f t="shared" si="2"/>
        <v/>
      </c>
      <c r="O13" s="509" t="str">
        <f t="shared" si="4"/>
        <v xml:space="preserve"> </v>
      </c>
      <c r="P13" s="509" t="str">
        <f t="shared" si="5"/>
        <v xml:space="preserve"> </v>
      </c>
    </row>
    <row r="14" spans="1:17">
      <c r="A14" s="182"/>
      <c r="B14" s="468" t="s">
        <v>673</v>
      </c>
      <c r="C14" s="501" t="s">
        <v>408</v>
      </c>
      <c r="D14" s="502"/>
      <c r="E14" s="503" t="s">
        <v>670</v>
      </c>
      <c r="F14" s="504" t="s">
        <v>670</v>
      </c>
      <c r="G14" s="505" t="s">
        <v>670</v>
      </c>
      <c r="H14" s="506" t="s">
        <v>670</v>
      </c>
      <c r="I14" s="507"/>
      <c r="J14" s="508" t="s">
        <v>670</v>
      </c>
      <c r="K14" s="508" t="str">
        <f t="shared" si="0"/>
        <v/>
      </c>
      <c r="L14" s="508" t="str">
        <f t="shared" si="1"/>
        <v/>
      </c>
      <c r="M14" s="508" t="str">
        <f t="shared" si="3"/>
        <v/>
      </c>
      <c r="N14" s="508" t="str">
        <f t="shared" si="2"/>
        <v/>
      </c>
      <c r="O14" s="509" t="str">
        <f t="shared" si="4"/>
        <v xml:space="preserve"> </v>
      </c>
      <c r="P14" s="509" t="str">
        <f t="shared" si="5"/>
        <v xml:space="preserve"> </v>
      </c>
    </row>
    <row r="15" spans="1:17">
      <c r="A15" s="182"/>
      <c r="B15" s="468" t="s">
        <v>673</v>
      </c>
      <c r="C15" s="501" t="s">
        <v>408</v>
      </c>
      <c r="D15" s="502"/>
      <c r="E15" s="503" t="s">
        <v>670</v>
      </c>
      <c r="F15" s="504" t="s">
        <v>670</v>
      </c>
      <c r="G15" s="505" t="s">
        <v>670</v>
      </c>
      <c r="H15" s="506" t="s">
        <v>670</v>
      </c>
      <c r="I15" s="507"/>
      <c r="J15" s="508" t="s">
        <v>670</v>
      </c>
      <c r="K15" s="508" t="str">
        <f t="shared" si="0"/>
        <v/>
      </c>
      <c r="L15" s="511" t="str">
        <f t="shared" si="1"/>
        <v/>
      </c>
      <c r="M15" s="508" t="str">
        <f t="shared" si="3"/>
        <v/>
      </c>
      <c r="N15" s="512" t="str">
        <f t="shared" si="2"/>
        <v/>
      </c>
      <c r="O15" s="509" t="str">
        <f t="shared" si="4"/>
        <v xml:space="preserve"> </v>
      </c>
      <c r="P15" s="509" t="str">
        <f t="shared" si="5"/>
        <v xml:space="preserve"> </v>
      </c>
    </row>
    <row r="16" spans="1:17">
      <c r="A16" s="182"/>
      <c r="B16" s="468" t="s">
        <v>673</v>
      </c>
      <c r="C16" s="501" t="s">
        <v>408</v>
      </c>
      <c r="D16" s="502"/>
      <c r="E16" s="503" t="s">
        <v>670</v>
      </c>
      <c r="F16" s="504" t="s">
        <v>670</v>
      </c>
      <c r="G16" s="505" t="s">
        <v>670</v>
      </c>
      <c r="H16" s="506" t="s">
        <v>670</v>
      </c>
      <c r="I16" s="507"/>
      <c r="J16" s="508" t="s">
        <v>670</v>
      </c>
      <c r="K16" s="508" t="str">
        <f t="shared" si="0"/>
        <v/>
      </c>
      <c r="L16" s="511" t="str">
        <f t="shared" si="1"/>
        <v/>
      </c>
      <c r="M16" s="508" t="str">
        <f t="shared" si="3"/>
        <v/>
      </c>
      <c r="N16" s="512" t="str">
        <f t="shared" si="2"/>
        <v/>
      </c>
      <c r="O16" s="509" t="str">
        <f t="shared" si="4"/>
        <v xml:space="preserve"> </v>
      </c>
      <c r="P16" s="509" t="str">
        <f t="shared" si="5"/>
        <v xml:space="preserve"> </v>
      </c>
    </row>
    <row r="17" spans="1:16">
      <c r="A17" s="182"/>
      <c r="B17" s="468" t="s">
        <v>673</v>
      </c>
      <c r="C17" s="501" t="s">
        <v>408</v>
      </c>
      <c r="D17" s="502"/>
      <c r="E17" s="503" t="s">
        <v>670</v>
      </c>
      <c r="F17" s="504" t="s">
        <v>670</v>
      </c>
      <c r="G17" s="505" t="s">
        <v>670</v>
      </c>
      <c r="H17" s="506" t="s">
        <v>670</v>
      </c>
      <c r="I17" s="507"/>
      <c r="J17" s="508" t="s">
        <v>670</v>
      </c>
      <c r="K17" s="508" t="str">
        <f t="shared" si="0"/>
        <v/>
      </c>
      <c r="L17" s="512" t="str">
        <f t="shared" si="1"/>
        <v/>
      </c>
      <c r="M17" s="508" t="str">
        <f t="shared" si="3"/>
        <v/>
      </c>
      <c r="N17" s="512" t="str">
        <f t="shared" si="2"/>
        <v/>
      </c>
      <c r="O17" s="509" t="str">
        <f t="shared" si="4"/>
        <v xml:space="preserve"> </v>
      </c>
      <c r="P17" s="509" t="str">
        <f t="shared" si="5"/>
        <v xml:space="preserve"> </v>
      </c>
    </row>
    <row r="18" spans="1:16">
      <c r="A18" s="182"/>
      <c r="B18" s="468" t="s">
        <v>673</v>
      </c>
      <c r="C18" s="501" t="s">
        <v>408</v>
      </c>
      <c r="D18" s="502"/>
      <c r="E18" s="503" t="s">
        <v>670</v>
      </c>
      <c r="F18" s="504" t="s">
        <v>670</v>
      </c>
      <c r="G18" s="505" t="s">
        <v>670</v>
      </c>
      <c r="H18" s="506" t="s">
        <v>670</v>
      </c>
      <c r="I18" s="507"/>
      <c r="J18" s="508" t="s">
        <v>670</v>
      </c>
      <c r="K18" s="508" t="str">
        <f t="shared" si="0"/>
        <v/>
      </c>
      <c r="L18" s="512" t="str">
        <f t="shared" si="1"/>
        <v/>
      </c>
      <c r="M18" s="508" t="str">
        <f t="shared" si="3"/>
        <v/>
      </c>
      <c r="N18" s="512" t="str">
        <f t="shared" si="2"/>
        <v/>
      </c>
      <c r="O18" s="509" t="str">
        <f t="shared" si="4"/>
        <v xml:space="preserve"> </v>
      </c>
      <c r="P18" s="509" t="str">
        <f t="shared" si="5"/>
        <v xml:space="preserve"> </v>
      </c>
    </row>
    <row r="19" spans="1:16">
      <c r="A19" s="182"/>
      <c r="B19" s="468" t="s">
        <v>673</v>
      </c>
      <c r="C19" s="501" t="s">
        <v>408</v>
      </c>
      <c r="D19" s="502"/>
      <c r="E19" s="503" t="s">
        <v>670</v>
      </c>
      <c r="F19" s="504" t="s">
        <v>670</v>
      </c>
      <c r="G19" s="505" t="s">
        <v>670</v>
      </c>
      <c r="H19" s="506" t="s">
        <v>670</v>
      </c>
      <c r="I19" s="507"/>
      <c r="J19" s="508" t="s">
        <v>670</v>
      </c>
      <c r="K19" s="508" t="str">
        <f t="shared" si="0"/>
        <v/>
      </c>
      <c r="L19" s="512" t="str">
        <f t="shared" si="1"/>
        <v/>
      </c>
      <c r="M19" s="508" t="str">
        <f t="shared" si="3"/>
        <v/>
      </c>
      <c r="N19" s="512" t="str">
        <f t="shared" si="2"/>
        <v/>
      </c>
      <c r="O19" s="509" t="str">
        <f t="shared" si="4"/>
        <v xml:space="preserve"> </v>
      </c>
      <c r="P19" s="509" t="str">
        <f t="shared" si="5"/>
        <v xml:space="preserve"> </v>
      </c>
    </row>
    <row r="20" spans="1:16">
      <c r="A20" s="182"/>
      <c r="B20" s="468" t="s">
        <v>673</v>
      </c>
      <c r="C20" s="501" t="s">
        <v>408</v>
      </c>
      <c r="D20" s="502"/>
      <c r="E20" s="503" t="s">
        <v>670</v>
      </c>
      <c r="F20" s="504" t="s">
        <v>670</v>
      </c>
      <c r="G20" s="505" t="s">
        <v>670</v>
      </c>
      <c r="H20" s="506" t="s">
        <v>670</v>
      </c>
      <c r="I20" s="507"/>
      <c r="J20" s="508" t="s">
        <v>670</v>
      </c>
      <c r="K20" s="508" t="str">
        <f t="shared" si="0"/>
        <v/>
      </c>
      <c r="L20" s="512" t="str">
        <f t="shared" si="1"/>
        <v/>
      </c>
      <c r="M20" s="508" t="str">
        <f t="shared" si="3"/>
        <v/>
      </c>
      <c r="N20" s="512" t="str">
        <f t="shared" si="2"/>
        <v/>
      </c>
      <c r="O20" s="509" t="str">
        <f t="shared" si="4"/>
        <v xml:space="preserve"> </v>
      </c>
      <c r="P20" s="509" t="str">
        <f t="shared" si="5"/>
        <v xml:space="preserve"> </v>
      </c>
    </row>
    <row r="21" spans="1:16">
      <c r="A21" s="182"/>
      <c r="B21" s="468" t="s">
        <v>673</v>
      </c>
      <c r="C21" s="501" t="s">
        <v>408</v>
      </c>
      <c r="D21" s="502"/>
      <c r="E21" s="503" t="s">
        <v>670</v>
      </c>
      <c r="F21" s="504" t="s">
        <v>670</v>
      </c>
      <c r="G21" s="505" t="s">
        <v>670</v>
      </c>
      <c r="H21" s="506" t="s">
        <v>670</v>
      </c>
      <c r="I21" s="507"/>
      <c r="J21" s="508" t="s">
        <v>670</v>
      </c>
      <c r="K21" s="508" t="str">
        <f t="shared" si="0"/>
        <v/>
      </c>
      <c r="L21" s="512" t="str">
        <f t="shared" si="1"/>
        <v/>
      </c>
      <c r="M21" s="508" t="str">
        <f t="shared" si="3"/>
        <v/>
      </c>
      <c r="N21" s="512" t="str">
        <f t="shared" si="2"/>
        <v/>
      </c>
      <c r="O21" s="509" t="str">
        <f t="shared" si="4"/>
        <v xml:space="preserve"> </v>
      </c>
      <c r="P21" s="509" t="str">
        <f t="shared" si="5"/>
        <v xml:space="preserve"> </v>
      </c>
    </row>
    <row r="22" spans="1:16">
      <c r="A22" s="182"/>
      <c r="B22" s="468" t="s">
        <v>673</v>
      </c>
      <c r="C22" s="501" t="s">
        <v>408</v>
      </c>
      <c r="D22" s="502"/>
      <c r="E22" s="503" t="s">
        <v>670</v>
      </c>
      <c r="F22" s="504" t="s">
        <v>670</v>
      </c>
      <c r="G22" s="505" t="s">
        <v>670</v>
      </c>
      <c r="H22" s="506" t="s">
        <v>670</v>
      </c>
      <c r="I22" s="507"/>
      <c r="J22" s="508" t="s">
        <v>670</v>
      </c>
      <c r="K22" s="508" t="str">
        <f t="shared" si="0"/>
        <v/>
      </c>
      <c r="L22" s="512" t="str">
        <f t="shared" si="1"/>
        <v/>
      </c>
      <c r="M22" s="508" t="str">
        <f t="shared" si="3"/>
        <v/>
      </c>
      <c r="N22" s="512" t="str">
        <f t="shared" si="2"/>
        <v/>
      </c>
      <c r="O22" s="509" t="str">
        <f t="shared" si="4"/>
        <v xml:space="preserve"> </v>
      </c>
      <c r="P22" s="509" t="str">
        <f t="shared" si="5"/>
        <v xml:space="preserve"> </v>
      </c>
    </row>
    <row r="23" spans="1:16">
      <c r="A23" s="182"/>
      <c r="B23" s="468" t="s">
        <v>673</v>
      </c>
      <c r="C23" s="501" t="s">
        <v>408</v>
      </c>
      <c r="D23" s="502"/>
      <c r="E23" s="503" t="s">
        <v>670</v>
      </c>
      <c r="F23" s="504" t="s">
        <v>670</v>
      </c>
      <c r="G23" s="505" t="s">
        <v>670</v>
      </c>
      <c r="H23" s="506" t="s">
        <v>670</v>
      </c>
      <c r="I23" s="507"/>
      <c r="J23" s="508" t="s">
        <v>670</v>
      </c>
      <c r="K23" s="508" t="str">
        <f t="shared" si="0"/>
        <v/>
      </c>
      <c r="L23" s="512" t="str">
        <f t="shared" si="1"/>
        <v/>
      </c>
      <c r="M23" s="508" t="str">
        <f t="shared" si="3"/>
        <v/>
      </c>
      <c r="N23" s="512" t="str">
        <f t="shared" si="2"/>
        <v/>
      </c>
      <c r="O23" s="509" t="str">
        <f t="shared" si="4"/>
        <v xml:space="preserve"> </v>
      </c>
      <c r="P23" s="509" t="str">
        <f t="shared" si="5"/>
        <v xml:space="preserve"> </v>
      </c>
    </row>
    <row r="24" spans="1:16">
      <c r="A24" s="182"/>
      <c r="B24" s="468" t="s">
        <v>673</v>
      </c>
      <c r="C24" s="501" t="s">
        <v>408</v>
      </c>
      <c r="D24" s="502"/>
      <c r="E24" s="503" t="s">
        <v>670</v>
      </c>
      <c r="F24" s="504" t="s">
        <v>670</v>
      </c>
      <c r="G24" s="505" t="s">
        <v>670</v>
      </c>
      <c r="H24" s="506" t="s">
        <v>670</v>
      </c>
      <c r="I24" s="507"/>
      <c r="J24" s="508" t="s">
        <v>670</v>
      </c>
      <c r="K24" s="508" t="str">
        <f t="shared" si="0"/>
        <v/>
      </c>
      <c r="L24" s="512" t="str">
        <f t="shared" si="1"/>
        <v/>
      </c>
      <c r="M24" s="508" t="str">
        <f t="shared" si="3"/>
        <v/>
      </c>
      <c r="N24" s="512" t="str">
        <f t="shared" si="2"/>
        <v/>
      </c>
      <c r="O24" s="509" t="str">
        <f t="shared" si="4"/>
        <v xml:space="preserve"> </v>
      </c>
      <c r="P24" s="509" t="str">
        <f t="shared" si="5"/>
        <v xml:space="preserve"> </v>
      </c>
    </row>
    <row r="25" spans="1:16">
      <c r="A25" s="182"/>
      <c r="B25" s="468" t="s">
        <v>673</v>
      </c>
      <c r="C25" s="501" t="s">
        <v>408</v>
      </c>
      <c r="D25" s="502"/>
      <c r="E25" s="503" t="s">
        <v>670</v>
      </c>
      <c r="F25" s="504" t="s">
        <v>670</v>
      </c>
      <c r="G25" s="505" t="s">
        <v>670</v>
      </c>
      <c r="H25" s="506" t="s">
        <v>670</v>
      </c>
      <c r="I25" s="507"/>
      <c r="J25" s="508" t="s">
        <v>670</v>
      </c>
      <c r="K25" s="508" t="str">
        <f t="shared" si="0"/>
        <v/>
      </c>
      <c r="L25" s="512" t="str">
        <f t="shared" si="1"/>
        <v/>
      </c>
      <c r="M25" s="508" t="str">
        <f t="shared" si="3"/>
        <v/>
      </c>
      <c r="N25" s="512" t="str">
        <f t="shared" si="2"/>
        <v/>
      </c>
      <c r="O25" s="509" t="str">
        <f t="shared" si="4"/>
        <v xml:space="preserve"> </v>
      </c>
      <c r="P25" s="509" t="str">
        <f t="shared" si="5"/>
        <v xml:space="preserve"> </v>
      </c>
    </row>
    <row r="26" spans="1:16">
      <c r="A26" s="182"/>
      <c r="B26" s="468" t="s">
        <v>673</v>
      </c>
      <c r="C26" s="501" t="s">
        <v>408</v>
      </c>
      <c r="D26" s="502"/>
      <c r="E26" s="503" t="s">
        <v>670</v>
      </c>
      <c r="F26" s="504" t="s">
        <v>670</v>
      </c>
      <c r="G26" s="505" t="s">
        <v>670</v>
      </c>
      <c r="H26" s="506" t="s">
        <v>670</v>
      </c>
      <c r="I26" s="507"/>
      <c r="J26" s="508" t="s">
        <v>670</v>
      </c>
      <c r="K26" s="508" t="str">
        <f t="shared" si="0"/>
        <v/>
      </c>
      <c r="L26" s="512" t="str">
        <f t="shared" si="1"/>
        <v/>
      </c>
      <c r="M26" s="508" t="str">
        <f t="shared" si="3"/>
        <v/>
      </c>
      <c r="N26" s="512" t="str">
        <f t="shared" si="2"/>
        <v/>
      </c>
      <c r="O26" s="509" t="str">
        <f t="shared" si="4"/>
        <v xml:space="preserve"> </v>
      </c>
      <c r="P26" s="509" t="str">
        <f t="shared" si="5"/>
        <v xml:space="preserve"> </v>
      </c>
    </row>
    <row r="27" spans="1:16">
      <c r="A27" s="182"/>
      <c r="B27" s="468" t="s">
        <v>673</v>
      </c>
      <c r="C27" s="501" t="s">
        <v>408</v>
      </c>
      <c r="D27" s="502"/>
      <c r="E27" s="503" t="s">
        <v>670</v>
      </c>
      <c r="F27" s="504" t="s">
        <v>670</v>
      </c>
      <c r="G27" s="505" t="s">
        <v>670</v>
      </c>
      <c r="H27" s="506" t="s">
        <v>670</v>
      </c>
      <c r="I27" s="507"/>
      <c r="J27" s="508" t="s">
        <v>670</v>
      </c>
      <c r="K27" s="508" t="str">
        <f t="shared" si="0"/>
        <v/>
      </c>
      <c r="L27" s="512" t="str">
        <f t="shared" si="1"/>
        <v/>
      </c>
      <c r="M27" s="508" t="str">
        <f t="shared" si="3"/>
        <v/>
      </c>
      <c r="N27" s="512" t="str">
        <f t="shared" si="2"/>
        <v/>
      </c>
      <c r="O27" s="509" t="str">
        <f t="shared" si="4"/>
        <v xml:space="preserve"> </v>
      </c>
      <c r="P27" s="509" t="str">
        <f t="shared" si="5"/>
        <v xml:space="preserve"> </v>
      </c>
    </row>
    <row r="28" spans="1:16">
      <c r="A28" s="182"/>
      <c r="B28" s="468" t="s">
        <v>673</v>
      </c>
      <c r="C28" s="501" t="s">
        <v>408</v>
      </c>
      <c r="D28" s="502"/>
      <c r="E28" s="503" t="s">
        <v>670</v>
      </c>
      <c r="F28" s="504" t="s">
        <v>670</v>
      </c>
      <c r="G28" s="505" t="s">
        <v>670</v>
      </c>
      <c r="H28" s="506" t="s">
        <v>670</v>
      </c>
      <c r="I28" s="507"/>
      <c r="J28" s="508" t="s">
        <v>670</v>
      </c>
      <c r="K28" s="508" t="str">
        <f t="shared" si="0"/>
        <v/>
      </c>
      <c r="L28" s="512" t="str">
        <f t="shared" si="1"/>
        <v/>
      </c>
      <c r="M28" s="508" t="str">
        <f t="shared" si="3"/>
        <v/>
      </c>
      <c r="N28" s="512" t="str">
        <f t="shared" si="2"/>
        <v/>
      </c>
      <c r="O28" s="509" t="str">
        <f t="shared" si="4"/>
        <v xml:space="preserve"> </v>
      </c>
      <c r="P28" s="509" t="str">
        <f t="shared" si="5"/>
        <v xml:space="preserve"> </v>
      </c>
    </row>
    <row r="29" spans="1:16">
      <c r="A29" s="183"/>
      <c r="B29" s="468" t="s">
        <v>673</v>
      </c>
      <c r="C29" s="501" t="s">
        <v>408</v>
      </c>
      <c r="D29" s="502"/>
      <c r="E29" s="503" t="s">
        <v>670</v>
      </c>
      <c r="F29" s="504" t="s">
        <v>670</v>
      </c>
      <c r="G29" s="505" t="s">
        <v>670</v>
      </c>
      <c r="H29" s="506" t="s">
        <v>670</v>
      </c>
      <c r="I29" s="507"/>
      <c r="J29" s="508" t="s">
        <v>670</v>
      </c>
      <c r="K29" s="508" t="str">
        <f t="shared" si="0"/>
        <v/>
      </c>
      <c r="L29" s="512" t="str">
        <f t="shared" si="1"/>
        <v/>
      </c>
      <c r="M29" s="508" t="str">
        <f t="shared" si="3"/>
        <v/>
      </c>
      <c r="N29" s="512" t="str">
        <f t="shared" si="2"/>
        <v/>
      </c>
      <c r="O29" s="509" t="str">
        <f t="shared" si="4"/>
        <v xml:space="preserve"> </v>
      </c>
      <c r="P29" s="509" t="str">
        <f t="shared" si="5"/>
        <v xml:space="preserve"> </v>
      </c>
    </row>
    <row r="31" spans="1:16">
      <c r="H31" s="472"/>
    </row>
  </sheetData>
  <conditionalFormatting sqref="G3:H29">
    <cfRule type="expression" dxfId="30" priority="17">
      <formula>"0"</formula>
    </cfRule>
  </conditionalFormatting>
  <conditionalFormatting sqref="I3:I29">
    <cfRule type="expression" dxfId="29" priority="10">
      <formula>AND(D3&lt;&gt;"",I3="")</formula>
    </cfRule>
  </conditionalFormatting>
  <conditionalFormatting sqref="I3:I29">
    <cfRule type="expression" dxfId="28" priority="8">
      <formula>AND(D3&lt;&gt;"",I3="")</formula>
    </cfRule>
  </conditionalFormatting>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
    <tabColor rgb="FF00B0F0"/>
  </sheetPr>
  <dimension ref="A1:T253"/>
  <sheetViews>
    <sheetView showGridLines="0" zoomScaleNormal="100" workbookViewId="0">
      <selection activeCell="G3" sqref="G3"/>
    </sheetView>
  </sheetViews>
  <sheetFormatPr baseColWidth="10" defaultColWidth="11.5703125" defaultRowHeight="12.75"/>
  <cols>
    <col min="1" max="1" width="3.7109375" style="191" bestFit="1" customWidth="1"/>
    <col min="2" max="2" width="38.7109375" style="189" bestFit="1" customWidth="1"/>
    <col min="3" max="3" width="7.5703125" style="191" bestFit="1" customWidth="1"/>
    <col min="4" max="4" width="5.85546875" style="189" customWidth="1"/>
    <col min="5" max="5" width="7" style="189" customWidth="1"/>
    <col min="6" max="6" width="10.140625" style="189" customWidth="1"/>
    <col min="7" max="7" width="9.7109375" style="486" bestFit="1" customWidth="1"/>
    <col min="8" max="8" width="16.140625" style="189" customWidth="1"/>
    <col min="9" max="9" width="2.28515625" style="189" customWidth="1"/>
    <col min="10" max="10" width="25.85546875" style="189" customWidth="1"/>
    <col min="11" max="11" width="40.5703125" style="191" bestFit="1" customWidth="1"/>
    <col min="12" max="12" width="6.140625" style="191" customWidth="1"/>
    <col min="13" max="13" width="22.5703125" style="191" bestFit="1" customWidth="1"/>
    <col min="14" max="15" width="10.28515625" style="191" bestFit="1" customWidth="1"/>
    <col min="16" max="17" width="22.5703125" style="191" bestFit="1" customWidth="1"/>
    <col min="18" max="18" width="9.28515625" style="193" bestFit="1" customWidth="1"/>
    <col min="19" max="16384" width="11.5703125" style="189"/>
  </cols>
  <sheetData>
    <row r="1" spans="1:20" ht="14.45" customHeight="1" thickTop="1" thickBot="1">
      <c r="A1" s="537" t="str">
        <f>+J3</f>
        <v>COMMERCIALE INVOICE</v>
      </c>
      <c r="B1" s="537"/>
      <c r="C1" s="537"/>
      <c r="D1" s="537"/>
      <c r="E1" s="538" t="s">
        <v>398</v>
      </c>
      <c r="F1" s="538"/>
      <c r="G1" s="542">
        <f ca="1">J2</f>
        <v>43313</v>
      </c>
      <c r="H1" s="542"/>
      <c r="J1" s="190">
        <f ca="1">NOW()</f>
        <v>43313.455226041668</v>
      </c>
      <c r="K1" s="455" t="str">
        <f>LEFT(J3,2)</f>
        <v>CO</v>
      </c>
      <c r="M1" s="540" t="s">
        <v>463</v>
      </c>
      <c r="N1" s="541"/>
      <c r="O1" s="192" t="s">
        <v>397</v>
      </c>
    </row>
    <row r="2" spans="1:20" ht="14.45" customHeight="1" thickTop="1" thickBot="1">
      <c r="A2" s="537"/>
      <c r="B2" s="537"/>
      <c r="C2" s="537"/>
      <c r="D2" s="537"/>
      <c r="G2" s="189"/>
      <c r="I2" s="184"/>
      <c r="J2" s="194">
        <f ca="1">TODAY()</f>
        <v>43313</v>
      </c>
      <c r="K2" s="470" t="str">
        <f ca="1">K1&amp;" "&amp;J4&amp;" "&amp;TEXT(G1,"aammjj")&amp;" "&amp;TEXT(J1,"hhmmss")</f>
        <v>CO 02 180801 105532</v>
      </c>
      <c r="M2" s="195" t="s">
        <v>437</v>
      </c>
      <c r="N2" s="196" t="s">
        <v>499</v>
      </c>
      <c r="O2" s="197" t="s">
        <v>0</v>
      </c>
    </row>
    <row r="3" spans="1:20" ht="13.5" thickTop="1">
      <c r="B3" s="198"/>
      <c r="C3" s="439"/>
      <c r="D3" s="198"/>
      <c r="E3" s="539" t="s">
        <v>569</v>
      </c>
      <c r="F3" s="539"/>
      <c r="G3" s="469" t="s">
        <v>688</v>
      </c>
      <c r="H3" s="469"/>
      <c r="J3" s="176" t="s">
        <v>437</v>
      </c>
      <c r="K3" s="199" t="s">
        <v>626</v>
      </c>
      <c r="M3" s="200" t="s">
        <v>498</v>
      </c>
      <c r="N3" s="201" t="s">
        <v>500</v>
      </c>
      <c r="O3" s="202" t="s">
        <v>4</v>
      </c>
    </row>
    <row r="4" spans="1:20">
      <c r="B4" s="198"/>
      <c r="C4" s="439"/>
      <c r="D4" s="198"/>
      <c r="E4" s="203"/>
      <c r="G4" s="189"/>
      <c r="I4" s="204"/>
      <c r="J4" s="177" t="s">
        <v>390</v>
      </c>
      <c r="K4" s="205" t="s">
        <v>629</v>
      </c>
      <c r="M4" s="200" t="s">
        <v>496</v>
      </c>
      <c r="N4" s="201" t="s">
        <v>501</v>
      </c>
      <c r="O4" s="202" t="s">
        <v>5</v>
      </c>
    </row>
    <row r="5" spans="1:20" ht="15">
      <c r="B5" s="203"/>
      <c r="C5" s="440"/>
      <c r="D5" s="203"/>
      <c r="E5" s="203"/>
      <c r="F5" s="545" t="str">
        <f>VLOOKUP($J$4,Clients!$B$4:$L$53,2)</f>
        <v>Durand Ets.</v>
      </c>
      <c r="G5" s="545"/>
      <c r="H5" s="545"/>
      <c r="I5" s="203"/>
      <c r="J5" s="178" t="s">
        <v>408</v>
      </c>
      <c r="K5" s="206" t="s">
        <v>628</v>
      </c>
      <c r="M5" s="207"/>
      <c r="N5" s="208"/>
      <c r="O5" s="209"/>
    </row>
    <row r="6" spans="1:20">
      <c r="B6" s="203"/>
      <c r="C6" s="440"/>
      <c r="D6" s="203"/>
      <c r="E6" s="203"/>
      <c r="F6" s="543" t="str">
        <f>VLOOKUP($J$4,Clients!$B$4:$L$53,3)</f>
        <v>1 Cours Lieutaud</v>
      </c>
      <c r="G6" s="543"/>
      <c r="H6" s="543"/>
      <c r="I6" s="203"/>
      <c r="J6" s="179" t="s">
        <v>0</v>
      </c>
      <c r="K6" s="206" t="s">
        <v>627</v>
      </c>
      <c r="M6" s="210"/>
      <c r="N6" s="211"/>
      <c r="O6" s="212"/>
    </row>
    <row r="7" spans="1:20" ht="13.5" thickBot="1">
      <c r="B7" s="203"/>
      <c r="C7" s="440"/>
      <c r="D7" s="203"/>
      <c r="E7" s="203"/>
      <c r="F7" s="543" t="str">
        <f>VLOOKUP($J$4,Clients!$B$4:$L$53,4)</f>
        <v>Bâtiment B</v>
      </c>
      <c r="G7" s="543"/>
      <c r="H7" s="543"/>
      <c r="I7" s="203"/>
      <c r="J7" s="530" t="s">
        <v>687</v>
      </c>
      <c r="K7" s="213" t="s">
        <v>630</v>
      </c>
      <c r="M7" s="214" t="s">
        <v>510</v>
      </c>
      <c r="N7" s="215" t="s">
        <v>511</v>
      </c>
      <c r="O7" s="192" t="s">
        <v>512</v>
      </c>
    </row>
    <row r="8" spans="1:20" ht="15.75" thickTop="1">
      <c r="B8" s="198"/>
      <c r="C8" s="439"/>
      <c r="D8" s="198"/>
      <c r="E8" s="203"/>
      <c r="F8" s="543">
        <f>VLOOKUP($J$4,Clients!$B$4:$L$53,5)</f>
        <v>13001</v>
      </c>
      <c r="G8" s="543"/>
      <c r="H8" s="543"/>
      <c r="I8" s="203"/>
      <c r="M8" s="216" t="s">
        <v>408</v>
      </c>
      <c r="N8" s="217" t="s">
        <v>517</v>
      </c>
      <c r="O8" s="218" t="s">
        <v>515</v>
      </c>
      <c r="P8" s="219"/>
    </row>
    <row r="9" spans="1:20" ht="13.15" customHeight="1">
      <c r="B9" s="203"/>
      <c r="C9" s="440"/>
      <c r="D9" s="203"/>
      <c r="E9" s="203"/>
      <c r="F9" s="543" t="str">
        <f>VLOOKUP($J$4,Clients!$B$4:$L$53,6)</f>
        <v>Marseille</v>
      </c>
      <c r="G9" s="543"/>
      <c r="H9" s="543"/>
      <c r="I9" s="203"/>
      <c r="J9" s="461"/>
      <c r="M9" s="220" t="s">
        <v>1</v>
      </c>
      <c r="N9" s="217" t="s">
        <v>517</v>
      </c>
      <c r="O9" s="221" t="s">
        <v>514</v>
      </c>
      <c r="P9" s="219"/>
      <c r="T9" s="222"/>
    </row>
    <row r="10" spans="1:20" ht="13.15" customHeight="1">
      <c r="B10" s="203"/>
      <c r="C10" s="440"/>
      <c r="D10" s="203"/>
      <c r="E10" s="203"/>
      <c r="F10" s="543" t="str">
        <f>VLOOKUP($J$4,Clients!$B$4:$L$53,7)</f>
        <v/>
      </c>
      <c r="G10" s="543"/>
      <c r="H10" s="543"/>
      <c r="I10" s="203"/>
      <c r="J10" s="223"/>
      <c r="K10" s="224"/>
      <c r="M10" s="225" t="s">
        <v>502</v>
      </c>
      <c r="N10" s="226" t="s">
        <v>504</v>
      </c>
      <c r="O10" s="227" t="s">
        <v>513</v>
      </c>
      <c r="T10" s="222"/>
    </row>
    <row r="11" spans="1:20" ht="13.15" customHeight="1">
      <c r="B11" s="203"/>
      <c r="C11" s="440"/>
      <c r="D11" s="203"/>
      <c r="E11" s="203"/>
      <c r="F11" s="544" t="str">
        <f>VLOOKUP($J$4,Clients!$B$4:$L$53,8)</f>
        <v>France</v>
      </c>
      <c r="G11" s="544"/>
      <c r="H11" s="544"/>
      <c r="I11" s="203"/>
      <c r="J11" s="228"/>
      <c r="K11" s="185"/>
      <c r="M11" s="220" t="s">
        <v>2</v>
      </c>
      <c r="N11" s="217" t="s">
        <v>517</v>
      </c>
      <c r="O11" s="229" t="s">
        <v>516</v>
      </c>
      <c r="P11" s="219"/>
      <c r="R11" s="189"/>
    </row>
    <row r="12" spans="1:20" ht="13.15" customHeight="1">
      <c r="B12" s="203"/>
      <c r="C12" s="440"/>
      <c r="D12" s="203"/>
      <c r="E12" s="203"/>
      <c r="F12" s="230"/>
      <c r="G12" s="198"/>
      <c r="H12" s="198"/>
      <c r="I12" s="203"/>
      <c r="J12" s="453"/>
      <c r="M12" s="231" t="s">
        <v>3</v>
      </c>
      <c r="N12" s="226" t="s">
        <v>506</v>
      </c>
      <c r="O12" s="227" t="s">
        <v>505</v>
      </c>
      <c r="R12" s="189"/>
    </row>
    <row r="13" spans="1:20" ht="14.45" customHeight="1">
      <c r="B13" s="232" t="s">
        <v>399</v>
      </c>
      <c r="C13" s="536" t="str">
        <f>+J5</f>
        <v>USD - US Dollar</v>
      </c>
      <c r="D13" s="536"/>
      <c r="E13" s="536"/>
      <c r="F13" s="539" t="s">
        <v>618</v>
      </c>
      <c r="G13" s="546"/>
      <c r="H13" s="233" t="str">
        <f>J7</f>
        <v>KSDJLj</v>
      </c>
      <c r="J13" s="463"/>
      <c r="K13" s="185"/>
      <c r="M13" s="234" t="s">
        <v>508</v>
      </c>
      <c r="N13" s="235" t="s">
        <v>509</v>
      </c>
      <c r="O13" s="236" t="s">
        <v>507</v>
      </c>
      <c r="R13" s="237"/>
      <c r="S13" s="193"/>
    </row>
    <row r="14" spans="1:20" ht="6" customHeight="1" thickBot="1">
      <c r="B14" s="232"/>
      <c r="C14" s="441"/>
      <c r="D14" s="232"/>
      <c r="F14" s="238"/>
      <c r="G14" s="238"/>
      <c r="J14" s="239"/>
      <c r="K14" s="456"/>
      <c r="M14" s="240"/>
      <c r="N14" s="241"/>
      <c r="O14" s="242"/>
      <c r="Q14" s="237"/>
    </row>
    <row r="15" spans="1:20" ht="39" thickBot="1">
      <c r="B15" s="243" t="s">
        <v>20</v>
      </c>
      <c r="C15" s="449" t="s">
        <v>661</v>
      </c>
      <c r="D15" s="244" t="s">
        <v>675</v>
      </c>
      <c r="E15" s="245" t="s">
        <v>613</v>
      </c>
      <c r="F15" s="246" t="s">
        <v>617</v>
      </c>
      <c r="G15" s="247" t="s">
        <v>503</v>
      </c>
      <c r="H15" s="248" t="s">
        <v>497</v>
      </c>
      <c r="I15" s="249"/>
      <c r="J15" s="462"/>
      <c r="K15" s="250"/>
      <c r="N15" s="189"/>
      <c r="O15" s="189"/>
      <c r="P15" s="189"/>
      <c r="Q15" s="189"/>
      <c r="R15" s="189"/>
    </row>
    <row r="16" spans="1:20" ht="14.45" customHeight="1">
      <c r="A16" s="251">
        <v>1</v>
      </c>
      <c r="B16" s="252" t="s">
        <v>13</v>
      </c>
      <c r="C16" s="450" t="str">
        <f>IFERROR(VLOOKUP(B16,Produits!$B$3:$G$102,5,)," ")</f>
        <v>MIN</v>
      </c>
      <c r="D16" s="454" t="str">
        <f>IFERROR(VLOOKUP(B16,'Packing List'!$B$19:$F$79,2,)," ")</f>
        <v>Gr</v>
      </c>
      <c r="E16" s="253">
        <f>IF(ISBLANK(B16)," ",SUMIF('Packing List'!$B$19:$B$79,B16,'Packing List'!$D$19:$D$79))</f>
        <v>1</v>
      </c>
      <c r="F16" s="254">
        <f>IF(ISBLANK(B16)," ",SUMIF('Packing List'!$B$19:$B$79,B16,'Packing List'!$F$19:$F$79))</f>
        <v>0.76800000000000002</v>
      </c>
      <c r="G16" s="526">
        <v>18.18</v>
      </c>
      <c r="H16" s="528">
        <f>IF(ISBLANK(B16)," ",IF(D16="Gr",F16*G16*1000,IF(D16="Kg",F16*G16,IF(D16="U",E16*G16," "))))</f>
        <v>13962.24</v>
      </c>
      <c r="I16" s="104"/>
      <c r="J16" s="255"/>
      <c r="K16" s="438"/>
      <c r="M16" s="189"/>
      <c r="N16" s="189"/>
      <c r="O16" s="189"/>
      <c r="P16" s="189"/>
      <c r="Q16" s="189"/>
      <c r="R16" s="189"/>
    </row>
    <row r="17" spans="1:18" ht="15">
      <c r="A17" s="251">
        <v>2</v>
      </c>
      <c r="B17" s="252" t="s">
        <v>577</v>
      </c>
      <c r="C17" s="451" t="str">
        <f>IFERROR(VLOOKUP(B17,Produits!$B$3:$G$102,5,)," ")</f>
        <v>ART</v>
      </c>
      <c r="D17" s="454" t="str">
        <f>IFERROR(VLOOKUP(B17,'Packing List'!$B$19:$F$79,2,)," ")</f>
        <v>U</v>
      </c>
      <c r="E17" s="253">
        <f>IF(ISBLANK(B17)," ",SUMIF('Packing List'!$B$19:$B$79,B17,'Packing List'!$D$19:$D$79))</f>
        <v>8</v>
      </c>
      <c r="F17" s="254">
        <f>IF(ISBLANK(B17)," ",SUMIF('Packing List'!$B$19:$B$79,B17,'Packing List'!$F$19:$F$79))</f>
        <v>2.8</v>
      </c>
      <c r="G17" s="527">
        <v>12</v>
      </c>
      <c r="H17" s="528">
        <f t="shared" ref="H17:H42" si="0">IF(ISBLANK(B17)," ",IF(D17="Gr",F17*G17*1000,IF(D17="Kg",F17*G17,IF(D17="U",E17*G17," "))))</f>
        <v>96</v>
      </c>
      <c r="I17" s="104"/>
      <c r="J17" s="255"/>
      <c r="K17" s="256"/>
      <c r="M17" s="189"/>
      <c r="N17" s="189"/>
      <c r="O17" s="189"/>
      <c r="P17" s="189"/>
      <c r="Q17" s="189"/>
      <c r="R17" s="189"/>
    </row>
    <row r="18" spans="1:18" ht="14.45" customHeight="1">
      <c r="A18" s="251">
        <v>3</v>
      </c>
      <c r="B18" s="252"/>
      <c r="C18" s="451" t="str">
        <f>IFERROR(VLOOKUP(B18,Produits!$B$3:$G$102,5,)," ")</f>
        <v xml:space="preserve"> </v>
      </c>
      <c r="D18" s="454" t="str">
        <f>IFERROR(VLOOKUP(B18,'Packing List'!$B$19:$F$79,2,)," ")</f>
        <v xml:space="preserve"> </v>
      </c>
      <c r="E18" s="253" t="str">
        <f>IF(ISBLANK(B18)," ",SUMIF('Packing List'!$B$19:$B$79,B18,'Packing List'!$D$19:$D$79))</f>
        <v xml:space="preserve"> </v>
      </c>
      <c r="F18" s="254" t="str">
        <f>IF(ISBLANK(B18)," ",SUMIF('Packing List'!$B$19:$B$79,B18,'Packing List'!$F$19:$F$79))</f>
        <v xml:space="preserve"> </v>
      </c>
      <c r="G18" s="477"/>
      <c r="H18" s="528" t="str">
        <f t="shared" si="0"/>
        <v xml:space="preserve"> </v>
      </c>
      <c r="I18" s="104"/>
      <c r="L18" s="257"/>
      <c r="M18" s="189"/>
      <c r="N18" s="189"/>
      <c r="O18" s="189"/>
      <c r="P18" s="189"/>
      <c r="Q18" s="189"/>
      <c r="R18" s="189"/>
    </row>
    <row r="19" spans="1:18" ht="14.45" customHeight="1">
      <c r="A19" s="251">
        <v>4</v>
      </c>
      <c r="B19" s="252"/>
      <c r="C19" s="451" t="str">
        <f>IFERROR(VLOOKUP(B19,Produits!$B$3:$G$102,5,)," ")</f>
        <v xml:space="preserve"> </v>
      </c>
      <c r="D19" s="454" t="str">
        <f>IFERROR(VLOOKUP(B19,'Packing List'!$B$19:$F$79,2,)," ")</f>
        <v xml:space="preserve"> </v>
      </c>
      <c r="E19" s="253" t="str">
        <f>IF(ISBLANK(B19)," ",SUMIF('Packing List'!$B$19:$B$79,B19,'Packing List'!$D$19:$D$79))</f>
        <v xml:space="preserve"> </v>
      </c>
      <c r="F19" s="254" t="str">
        <f>IF(ISBLANK(B19)," ",SUMIF('Packing List'!$B$19:$B$79,B19,'Packing List'!$F$19:$F$79))</f>
        <v xml:space="preserve"> </v>
      </c>
      <c r="G19" s="477"/>
      <c r="H19" s="528" t="str">
        <f t="shared" si="0"/>
        <v xml:space="preserve"> </v>
      </c>
      <c r="I19" s="104"/>
      <c r="J19" s="255"/>
      <c r="L19" s="257"/>
      <c r="M19" s="189"/>
      <c r="N19" s="189"/>
      <c r="O19" s="189"/>
      <c r="P19" s="189"/>
      <c r="Q19" s="189"/>
      <c r="R19" s="189"/>
    </row>
    <row r="20" spans="1:18" ht="14.45" customHeight="1">
      <c r="A20" s="251">
        <v>5</v>
      </c>
      <c r="B20" s="252"/>
      <c r="C20" s="451" t="str">
        <f>IFERROR(VLOOKUP(B20,Produits!$B$3:$G$102,5,)," ")</f>
        <v xml:space="preserve"> </v>
      </c>
      <c r="D20" s="454" t="str">
        <f>IFERROR(VLOOKUP(B20,'Packing List'!$B$19:$F$79,2,)," ")</f>
        <v xml:space="preserve"> </v>
      </c>
      <c r="E20" s="253" t="str">
        <f>IF(ISBLANK(B20)," ",SUMIF('Packing List'!$B$19:$B$79,B20,'Packing List'!$D$19:$D$79))</f>
        <v xml:space="preserve"> </v>
      </c>
      <c r="F20" s="254" t="str">
        <f>IF(ISBLANK(B20)," ",SUMIF('Packing List'!$B$19:$B$79,B20,'Packing List'!$F$19:$F$79))</f>
        <v xml:space="preserve"> </v>
      </c>
      <c r="G20" s="477"/>
      <c r="H20" s="528" t="str">
        <f t="shared" si="0"/>
        <v xml:space="preserve"> </v>
      </c>
      <c r="I20" s="104"/>
      <c r="J20" s="255"/>
      <c r="K20" s="258"/>
      <c r="L20" s="257"/>
      <c r="M20" s="189"/>
      <c r="N20" s="189"/>
      <c r="O20" s="189"/>
      <c r="P20" s="189"/>
      <c r="Q20" s="189"/>
      <c r="R20" s="189"/>
    </row>
    <row r="21" spans="1:18" ht="14.45" customHeight="1">
      <c r="A21" s="251">
        <v>6</v>
      </c>
      <c r="B21" s="252"/>
      <c r="C21" s="451" t="str">
        <f>IFERROR(VLOOKUP(B21,Produits!$B$3:$G$102,5,)," ")</f>
        <v xml:space="preserve"> </v>
      </c>
      <c r="D21" s="454" t="str">
        <f>IFERROR(VLOOKUP(B21,'Packing List'!$B$19:$F$79,2,)," ")</f>
        <v xml:space="preserve"> </v>
      </c>
      <c r="E21" s="253" t="str">
        <f>IF(ISBLANK(B21)," ",SUMIF('Packing List'!$B$19:$B$79,B21,'Packing List'!$D$19:$D$79))</f>
        <v xml:space="preserve"> </v>
      </c>
      <c r="F21" s="254" t="str">
        <f>IF(ISBLANK(B21)," ",SUMIF('Packing List'!$B$19:$B$79,B21,'Packing List'!$F$19:$F$79))</f>
        <v xml:space="preserve"> </v>
      </c>
      <c r="G21" s="477"/>
      <c r="H21" s="528" t="str">
        <f t="shared" si="0"/>
        <v xml:space="preserve"> </v>
      </c>
      <c r="I21" s="59"/>
      <c r="J21" s="255"/>
      <c r="L21" s="257"/>
      <c r="M21" s="189"/>
      <c r="N21" s="189"/>
      <c r="O21" s="189"/>
      <c r="P21" s="189"/>
      <c r="Q21" s="189"/>
      <c r="R21" s="189"/>
    </row>
    <row r="22" spans="1:18" ht="14.45" customHeight="1">
      <c r="A22" s="251">
        <v>7</v>
      </c>
      <c r="B22" s="252"/>
      <c r="C22" s="451" t="str">
        <f>IFERROR(VLOOKUP(B22,Produits!$B$3:$G$102,5,)," ")</f>
        <v xml:space="preserve"> </v>
      </c>
      <c r="D22" s="454" t="str">
        <f>IFERROR(VLOOKUP(B22,'Packing List'!$B$19:$F$79,2,)," ")</f>
        <v xml:space="preserve"> </v>
      </c>
      <c r="E22" s="253" t="str">
        <f>IF(ISBLANK(B22)," ",SUMIF('Packing List'!$B$19:$B$79,B22,'Packing List'!$D$19:$D$79))</f>
        <v xml:space="preserve"> </v>
      </c>
      <c r="F22" s="254" t="str">
        <f>IF(ISBLANK(B22)," ",SUMIF('Packing List'!$B$19:$B$79,B22,'Packing List'!$F$19:$F$79))</f>
        <v xml:space="preserve"> </v>
      </c>
      <c r="G22" s="477"/>
      <c r="H22" s="528" t="str">
        <f t="shared" si="0"/>
        <v xml:space="preserve"> </v>
      </c>
      <c r="I22" s="59"/>
      <c r="J22" s="191"/>
      <c r="K22" s="259"/>
      <c r="L22" s="257"/>
      <c r="M22" s="189"/>
      <c r="N22" s="189"/>
      <c r="O22" s="189"/>
      <c r="P22" s="189"/>
      <c r="Q22" s="189"/>
      <c r="R22" s="189"/>
    </row>
    <row r="23" spans="1:18" ht="14.45" customHeight="1">
      <c r="A23" s="251">
        <v>8</v>
      </c>
      <c r="B23" s="252"/>
      <c r="C23" s="451" t="str">
        <f>IFERROR(VLOOKUP(B23,Produits!$B$3:$G$102,5,)," ")</f>
        <v xml:space="preserve"> </v>
      </c>
      <c r="D23" s="454" t="str">
        <f>IFERROR(VLOOKUP(B23,'Packing List'!$B$19:$F$79,2,)," ")</f>
        <v xml:space="preserve"> </v>
      </c>
      <c r="E23" s="253" t="str">
        <f>IF(ISBLANK(B23)," ",SUMIF('Packing List'!$B$19:$B$79,B23,'Packing List'!$D$19:$D$79))</f>
        <v xml:space="preserve"> </v>
      </c>
      <c r="F23" s="254" t="str">
        <f>IF(ISBLANK(B23)," ",SUMIF('Packing List'!$B$19:$B$79,B23,'Packing List'!$F$19:$F$79))</f>
        <v xml:space="preserve"> </v>
      </c>
      <c r="G23" s="477"/>
      <c r="H23" s="528" t="str">
        <f t="shared" si="0"/>
        <v xml:space="preserve"> </v>
      </c>
      <c r="I23" s="59"/>
      <c r="J23" s="260" t="s">
        <v>654</v>
      </c>
      <c r="K23" s="261">
        <v>1.36</v>
      </c>
      <c r="L23" s="257"/>
      <c r="M23" s="189"/>
      <c r="N23" s="189"/>
      <c r="O23" s="189"/>
      <c r="P23" s="189"/>
      <c r="Q23" s="189"/>
      <c r="R23" s="189"/>
    </row>
    <row r="24" spans="1:18" ht="14.45" customHeight="1">
      <c r="A24" s="251">
        <v>9</v>
      </c>
      <c r="B24" s="252"/>
      <c r="C24" s="451" t="str">
        <f>IFERROR(VLOOKUP(B24,Produits!$B$3:$G$102,5,)," ")</f>
        <v xml:space="preserve"> </v>
      </c>
      <c r="D24" s="454" t="str">
        <f>IFERROR(VLOOKUP(B24,'Packing List'!$B$19:$F$79,2,)," ")</f>
        <v xml:space="preserve"> </v>
      </c>
      <c r="E24" s="253" t="str">
        <f>IF(ISBLANK(B24)," ",SUMIF('Packing List'!$B$19:$B$79,B24,'Packing List'!$D$19:$D$79))</f>
        <v xml:space="preserve"> </v>
      </c>
      <c r="F24" s="254" t="str">
        <f>IF(ISBLANK(B24)," ",SUMIF('Packing List'!$B$19:$B$79,B24,'Packing List'!$F$19:$F$79))</f>
        <v xml:space="preserve"> </v>
      </c>
      <c r="G24" s="477"/>
      <c r="H24" s="528" t="str">
        <f t="shared" si="0"/>
        <v xml:space="preserve"> </v>
      </c>
      <c r="I24" s="59"/>
      <c r="J24" s="262" t="s">
        <v>653</v>
      </c>
      <c r="K24" s="261">
        <v>0.69</v>
      </c>
      <c r="L24" s="257"/>
      <c r="M24" s="263"/>
      <c r="N24" s="189"/>
      <c r="O24" s="189"/>
      <c r="P24" s="189"/>
      <c r="Q24" s="189"/>
      <c r="R24" s="189"/>
    </row>
    <row r="25" spans="1:18" ht="14.45" customHeight="1">
      <c r="A25" s="251">
        <v>10</v>
      </c>
      <c r="B25" s="252"/>
      <c r="C25" s="451" t="str">
        <f>IFERROR(VLOOKUP(B25,Produits!$B$3:$G$102,5,)," ")</f>
        <v xml:space="preserve"> </v>
      </c>
      <c r="D25" s="454" t="str">
        <f>IFERROR(VLOOKUP(B25,'Packing List'!$B$19:$F$79,2,)," ")</f>
        <v xml:space="preserve"> </v>
      </c>
      <c r="E25" s="253" t="str">
        <f>IF(ISBLANK(B25)," ",SUMIF('Packing List'!$B$19:$B$79,B25,'Packing List'!$D$19:$D$79))</f>
        <v xml:space="preserve"> </v>
      </c>
      <c r="F25" s="254" t="str">
        <f>IF(ISBLANK(B25)," ",SUMIF('Packing List'!$B$19:$B$79,B25,'Packing List'!$F$19:$F$79))</f>
        <v xml:space="preserve"> </v>
      </c>
      <c r="G25" s="478"/>
      <c r="H25" s="528" t="str">
        <f t="shared" si="0"/>
        <v xml:space="preserve"> </v>
      </c>
      <c r="I25" s="59"/>
      <c r="J25" s="262" t="s">
        <v>652</v>
      </c>
      <c r="K25" s="261">
        <v>18.18</v>
      </c>
      <c r="L25" s="257"/>
      <c r="M25" s="263"/>
      <c r="N25" s="189"/>
      <c r="O25" s="189"/>
      <c r="P25" s="189"/>
      <c r="Q25" s="189"/>
      <c r="R25" s="189"/>
    </row>
    <row r="26" spans="1:18" ht="14.45" customHeight="1">
      <c r="A26" s="251">
        <v>11</v>
      </c>
      <c r="B26" s="252"/>
      <c r="C26" s="451" t="str">
        <f>IFERROR(VLOOKUP(B26,Produits!$B$3:$G$102,5,)," ")</f>
        <v xml:space="preserve"> </v>
      </c>
      <c r="D26" s="454" t="str">
        <f>IFERROR(VLOOKUP(B26,'Packing List'!$B$19:$F$79,2,)," ")</f>
        <v xml:space="preserve"> </v>
      </c>
      <c r="E26" s="253" t="str">
        <f>IF(ISBLANK(B26)," ",SUMIF('Packing List'!$B$19:$B$79,B26,'Packing List'!$D$19:$D$79))</f>
        <v xml:space="preserve"> </v>
      </c>
      <c r="F26" s="254" t="str">
        <f>IF(ISBLANK(B26)," ",SUMIF('Packing List'!$B$19:$B$79,B26,'Packing List'!$F$19:$F$79))</f>
        <v xml:space="preserve"> </v>
      </c>
      <c r="G26" s="477"/>
      <c r="H26" s="528" t="str">
        <f t="shared" si="0"/>
        <v xml:space="preserve"> </v>
      </c>
      <c r="I26" s="59"/>
      <c r="J26" s="262" t="s">
        <v>651</v>
      </c>
      <c r="K26" s="261">
        <v>0.91</v>
      </c>
      <c r="L26" s="257"/>
      <c r="M26" s="263"/>
      <c r="N26" s="189"/>
      <c r="O26" s="189"/>
      <c r="P26" s="189"/>
      <c r="Q26" s="189"/>
      <c r="R26" s="189"/>
    </row>
    <row r="27" spans="1:18">
      <c r="A27" s="251">
        <v>12</v>
      </c>
      <c r="B27" s="252"/>
      <c r="C27" s="451" t="str">
        <f>IFERROR(VLOOKUP(B27,Produits!$B$3:$G$102,5,)," ")</f>
        <v xml:space="preserve"> </v>
      </c>
      <c r="D27" s="454" t="str">
        <f>IFERROR(VLOOKUP(B27,'Packing List'!$B$19:$F$79,2,)," ")</f>
        <v xml:space="preserve"> </v>
      </c>
      <c r="E27" s="253" t="str">
        <f>IF(ISBLANK(B27)," ",SUMIF('Packing List'!$B$19:$B$79,B27,'Packing List'!$D$19:$D$79))</f>
        <v xml:space="preserve"> </v>
      </c>
      <c r="F27" s="254" t="str">
        <f>IF(ISBLANK(B27)," ",SUMIF('Packing List'!$B$19:$B$79,B27,'Packing List'!$F$19:$F$79))</f>
        <v xml:space="preserve"> </v>
      </c>
      <c r="G27" s="477"/>
      <c r="H27" s="528" t="str">
        <f t="shared" si="0"/>
        <v xml:space="preserve"> </v>
      </c>
      <c r="I27" s="59"/>
      <c r="J27" s="262" t="s">
        <v>650</v>
      </c>
      <c r="K27" s="261">
        <v>0.69</v>
      </c>
      <c r="L27" s="257"/>
      <c r="M27" s="263"/>
      <c r="N27" s="189"/>
      <c r="O27" s="189"/>
      <c r="P27" s="189"/>
      <c r="Q27" s="189"/>
      <c r="R27" s="189"/>
    </row>
    <row r="28" spans="1:18" ht="14.45" customHeight="1">
      <c r="A28" s="251">
        <v>13</v>
      </c>
      <c r="B28" s="252"/>
      <c r="C28" s="451" t="str">
        <f>IFERROR(VLOOKUP(B28,Produits!$B$3:$G$102,5,)," ")</f>
        <v xml:space="preserve"> </v>
      </c>
      <c r="D28" s="454" t="str">
        <f>IFERROR(VLOOKUP(B28,'Packing List'!$B$19:$F$79,2,)," ")</f>
        <v xml:space="preserve"> </v>
      </c>
      <c r="E28" s="253" t="str">
        <f>IF(ISBLANK(B28)," ",SUMIF('Packing List'!$B$19:$B$79,B28,'Packing List'!$D$19:$D$79))</f>
        <v xml:space="preserve"> </v>
      </c>
      <c r="F28" s="254" t="str">
        <f>IF(ISBLANK(B28)," ",SUMIF('Packing List'!$B$19:$B$79,B28,'Packing List'!$F$19:$F$79))</f>
        <v xml:space="preserve"> </v>
      </c>
      <c r="G28" s="477"/>
      <c r="H28" s="528" t="str">
        <f t="shared" si="0"/>
        <v xml:space="preserve"> </v>
      </c>
      <c r="I28" s="59"/>
      <c r="J28" s="262" t="s">
        <v>649</v>
      </c>
      <c r="K28" s="261">
        <v>0.91</v>
      </c>
      <c r="L28" s="257"/>
      <c r="M28" s="264"/>
      <c r="N28" s="189"/>
      <c r="O28" s="189"/>
      <c r="P28" s="189"/>
      <c r="Q28" s="189"/>
      <c r="R28" s="189"/>
    </row>
    <row r="29" spans="1:18" ht="14.45" customHeight="1">
      <c r="A29" s="251">
        <v>14</v>
      </c>
      <c r="B29" s="252"/>
      <c r="C29" s="451" t="str">
        <f>IFERROR(VLOOKUP(B29,Produits!$B$3:$G$102,5,)," ")</f>
        <v xml:space="preserve"> </v>
      </c>
      <c r="D29" s="454" t="str">
        <f>IFERROR(VLOOKUP(B29,'Packing List'!$B$19:$F$79,2,)," ")</f>
        <v xml:space="preserve"> </v>
      </c>
      <c r="E29" s="253" t="str">
        <f>IF(ISBLANK(B29)," ",SUMIF('Packing List'!$B$19:$B$79,B29,'Packing List'!$D$19:$D$79))</f>
        <v xml:space="preserve"> </v>
      </c>
      <c r="F29" s="254" t="str">
        <f>IF(ISBLANK(B29)," ",SUMIF('Packing List'!$B$19:$B$79,B29,'Packing List'!$F$19:$F$79))</f>
        <v xml:space="preserve"> </v>
      </c>
      <c r="G29" s="477"/>
      <c r="H29" s="528" t="str">
        <f t="shared" si="0"/>
        <v xml:space="preserve"> </v>
      </c>
      <c r="I29" s="59"/>
      <c r="J29" s="262" t="s">
        <v>648</v>
      </c>
      <c r="K29" s="261">
        <v>6</v>
      </c>
      <c r="M29" s="189"/>
      <c r="N29" s="189"/>
      <c r="O29" s="189"/>
      <c r="P29" s="189"/>
      <c r="Q29" s="189"/>
      <c r="R29" s="189"/>
    </row>
    <row r="30" spans="1:18" ht="14.45" customHeight="1">
      <c r="A30" s="251">
        <v>15</v>
      </c>
      <c r="B30" s="252"/>
      <c r="C30" s="451" t="str">
        <f>IFERROR(VLOOKUP(B30,Produits!$B$3:$G$102,5,)," ")</f>
        <v xml:space="preserve"> </v>
      </c>
      <c r="D30" s="454" t="str">
        <f>IFERROR(VLOOKUP(B30,'Packing List'!$B$19:$F$79,2,)," ")</f>
        <v xml:space="preserve"> </v>
      </c>
      <c r="E30" s="253" t="str">
        <f>IF(ISBLANK(B30)," ",SUMIF('Packing List'!$B$19:$B$79,B30,'Packing List'!$D$19:$D$79))</f>
        <v xml:space="preserve"> </v>
      </c>
      <c r="F30" s="254" t="str">
        <f>IF(ISBLANK(B30)," ",SUMIF('Packing List'!$B$19:$B$79,B30,'Packing List'!$F$19:$F$79))</f>
        <v xml:space="preserve"> </v>
      </c>
      <c r="G30" s="477"/>
      <c r="H30" s="528" t="str">
        <f t="shared" si="0"/>
        <v xml:space="preserve"> </v>
      </c>
      <c r="I30" s="59"/>
      <c r="K30" s="265"/>
      <c r="L30" s="189"/>
      <c r="M30" s="189"/>
      <c r="N30" s="189"/>
      <c r="O30" s="189"/>
      <c r="P30" s="189"/>
      <c r="Q30" s="189"/>
      <c r="R30" s="189"/>
    </row>
    <row r="31" spans="1:18" ht="14.45" customHeight="1">
      <c r="A31" s="251">
        <v>16</v>
      </c>
      <c r="B31" s="252"/>
      <c r="C31" s="451" t="str">
        <f>IFERROR(VLOOKUP(B31,Produits!$B$3:$G$102,5,)," ")</f>
        <v xml:space="preserve"> </v>
      </c>
      <c r="D31" s="454" t="str">
        <f>IFERROR(VLOOKUP(B31,'Packing List'!$B$19:$F$79,2,)," ")</f>
        <v xml:space="preserve"> </v>
      </c>
      <c r="E31" s="253" t="str">
        <f>IF(ISBLANK(B31)," ",SUMIF('Packing List'!$B$19:$B$79,B31,'Packing List'!$D$19:$D$79))</f>
        <v xml:space="preserve"> </v>
      </c>
      <c r="F31" s="254" t="str">
        <f>IF(ISBLANK(B31)," ",SUMIF('Packing List'!$B$19:$B$79,B31,'Packing List'!$F$19:$F$79))</f>
        <v xml:space="preserve"> </v>
      </c>
      <c r="G31" s="477"/>
      <c r="H31" s="528" t="str">
        <f t="shared" si="0"/>
        <v xml:space="preserve"> </v>
      </c>
      <c r="I31" s="59"/>
      <c r="L31" s="189"/>
      <c r="M31" s="189"/>
      <c r="N31" s="189"/>
      <c r="O31" s="189"/>
      <c r="P31" s="189"/>
      <c r="Q31" s="189"/>
      <c r="R31" s="189"/>
    </row>
    <row r="32" spans="1:18" ht="14.45" customHeight="1">
      <c r="A32" s="251">
        <v>17</v>
      </c>
      <c r="B32" s="252"/>
      <c r="C32" s="451" t="str">
        <f>IFERROR(VLOOKUP(B32,Produits!$B$3:$G$102,5,)," ")</f>
        <v xml:space="preserve"> </v>
      </c>
      <c r="D32" s="454" t="str">
        <f>IFERROR(VLOOKUP(B32,'Packing List'!$B$19:$F$79,2,)," ")</f>
        <v xml:space="preserve"> </v>
      </c>
      <c r="E32" s="253" t="str">
        <f>IF(ISBLANK(B32)," ",SUMIF('Packing List'!$B$19:$B$79,B32,'Packing List'!$D$19:$D$79))</f>
        <v xml:space="preserve"> </v>
      </c>
      <c r="F32" s="254" t="str">
        <f>IF(ISBLANK(B32)," ",SUMIF('Packing List'!$B$19:$B$79,B32,'Packing List'!$F$19:$F$79))</f>
        <v xml:space="preserve"> </v>
      </c>
      <c r="G32" s="477"/>
      <c r="H32" s="528" t="str">
        <f t="shared" si="0"/>
        <v xml:space="preserve"> </v>
      </c>
      <c r="I32" s="59"/>
      <c r="J32" s="453"/>
      <c r="L32" s="189"/>
      <c r="M32" s="189"/>
      <c r="N32" s="189"/>
      <c r="O32" s="189"/>
      <c r="P32" s="189"/>
      <c r="Q32" s="189"/>
      <c r="R32" s="189"/>
    </row>
    <row r="33" spans="1:18" ht="14.45" customHeight="1">
      <c r="A33" s="251">
        <v>18</v>
      </c>
      <c r="B33" s="252"/>
      <c r="C33" s="451" t="str">
        <f>IFERROR(VLOOKUP(B33,Produits!$B$3:$G$102,5,)," ")</f>
        <v xml:space="preserve"> </v>
      </c>
      <c r="D33" s="454" t="str">
        <f>IFERROR(VLOOKUP(B33,'Packing List'!$B$19:$F$79,2,)," ")</f>
        <v xml:space="preserve"> </v>
      </c>
      <c r="E33" s="253" t="str">
        <f>IF(ISBLANK(B33)," ",SUMIF('Packing List'!$B$19:$B$79,B33,'Packing List'!$D$19:$D$79))</f>
        <v xml:space="preserve"> </v>
      </c>
      <c r="F33" s="254" t="str">
        <f>IF(ISBLANK(B33)," ",SUMIF('Packing List'!$B$19:$B$79,B33,'Packing List'!$F$19:$F$79))</f>
        <v xml:space="preserve"> </v>
      </c>
      <c r="G33" s="477"/>
      <c r="H33" s="528" t="str">
        <f t="shared" si="0"/>
        <v xml:space="preserve"> </v>
      </c>
      <c r="I33" s="59"/>
      <c r="L33" s="189"/>
      <c r="M33" s="189"/>
      <c r="N33" s="189"/>
      <c r="O33" s="189"/>
      <c r="P33" s="189"/>
      <c r="Q33" s="189"/>
      <c r="R33" s="189"/>
    </row>
    <row r="34" spans="1:18" ht="14.45" customHeight="1">
      <c r="A34" s="251">
        <v>19</v>
      </c>
      <c r="B34" s="252"/>
      <c r="C34" s="451" t="str">
        <f>IFERROR(VLOOKUP(B34,Produits!$B$3:$G$102,5,)," ")</f>
        <v xml:space="preserve"> </v>
      </c>
      <c r="D34" s="454" t="str">
        <f>IFERROR(VLOOKUP(B34,'Packing List'!$B$19:$F$79,2,)," ")</f>
        <v xml:space="preserve"> </v>
      </c>
      <c r="E34" s="253" t="str">
        <f>IF(ISBLANK(B34)," ",SUMIF('Packing List'!$B$19:$B$79,B34,'Packing List'!$D$19:$D$79))</f>
        <v xml:space="preserve"> </v>
      </c>
      <c r="F34" s="254" t="str">
        <f>IF(ISBLANK(B34)," ",SUMIF('Packing List'!$B$19:$B$79,B34,'Packing List'!$F$19:$F$79))</f>
        <v xml:space="preserve"> </v>
      </c>
      <c r="G34" s="477"/>
      <c r="H34" s="528" t="str">
        <f t="shared" si="0"/>
        <v xml:space="preserve"> </v>
      </c>
      <c r="I34" s="59"/>
      <c r="L34" s="189"/>
      <c r="M34" s="189"/>
      <c r="N34" s="189"/>
      <c r="O34" s="189"/>
      <c r="P34" s="189"/>
      <c r="Q34" s="189"/>
      <c r="R34" s="189"/>
    </row>
    <row r="35" spans="1:18" ht="14.45" customHeight="1">
      <c r="A35" s="251">
        <v>20</v>
      </c>
      <c r="B35" s="252"/>
      <c r="C35" s="451" t="str">
        <f>IFERROR(VLOOKUP(B35,Produits!$B$3:$G$102,5,)," ")</f>
        <v xml:space="preserve"> </v>
      </c>
      <c r="D35" s="454" t="str">
        <f>IFERROR(VLOOKUP(B35,'Packing List'!$B$19:$F$79,2,)," ")</f>
        <v xml:space="preserve"> </v>
      </c>
      <c r="E35" s="253" t="str">
        <f>IF(ISBLANK(B35)," ",SUMIF('Packing List'!$B$19:$B$79,B35,'Packing List'!$D$19:$D$79))</f>
        <v xml:space="preserve"> </v>
      </c>
      <c r="F35" s="254" t="str">
        <f>IF(ISBLANK(B35)," ",SUMIF('Packing List'!$B$19:$B$79,B35,'Packing List'!$F$19:$F$79))</f>
        <v xml:space="preserve"> </v>
      </c>
      <c r="G35" s="477"/>
      <c r="H35" s="528" t="str">
        <f t="shared" si="0"/>
        <v xml:space="preserve"> </v>
      </c>
      <c r="I35" s="59"/>
      <c r="L35" s="266"/>
      <c r="M35" s="189"/>
      <c r="N35" s="189"/>
      <c r="O35" s="189"/>
      <c r="P35" s="189"/>
      <c r="Q35" s="189"/>
      <c r="R35" s="189"/>
    </row>
    <row r="36" spans="1:18" ht="14.45" customHeight="1">
      <c r="A36" s="251">
        <v>21</v>
      </c>
      <c r="B36" s="252"/>
      <c r="C36" s="451" t="str">
        <f>IFERROR(VLOOKUP(B36,Produits!$B$3:$G$102,5,)," ")</f>
        <v xml:space="preserve"> </v>
      </c>
      <c r="D36" s="454" t="str">
        <f>IFERROR(VLOOKUP(B36,'Packing List'!$B$19:$F$79,2,)," ")</f>
        <v xml:space="preserve"> </v>
      </c>
      <c r="E36" s="253" t="str">
        <f>IF(ISBLANK(B36)," ",SUMIF('Packing List'!$B$19:$B$79,B36,'Packing List'!$D$19:$D$79))</f>
        <v xml:space="preserve"> </v>
      </c>
      <c r="F36" s="254" t="str">
        <f>IF(ISBLANK(B36)," ",SUMIF('Packing List'!$B$19:$B$79,B36,'Packing List'!$F$19:$F$79))</f>
        <v xml:space="preserve"> </v>
      </c>
      <c r="G36" s="477"/>
      <c r="H36" s="528" t="str">
        <f t="shared" si="0"/>
        <v xml:space="preserve"> </v>
      </c>
      <c r="I36" s="59"/>
      <c r="J36" s="267"/>
      <c r="L36" s="189"/>
      <c r="M36" s="189"/>
      <c r="N36" s="189"/>
      <c r="O36" s="189"/>
      <c r="P36" s="189"/>
      <c r="Q36" s="189"/>
      <c r="R36" s="189"/>
    </row>
    <row r="37" spans="1:18" ht="14.45" customHeight="1">
      <c r="A37" s="251">
        <v>22</v>
      </c>
      <c r="B37" s="252"/>
      <c r="C37" s="451" t="str">
        <f>IFERROR(VLOOKUP(B37,Produits!$B$3:$G$102,5,)," ")</f>
        <v xml:space="preserve"> </v>
      </c>
      <c r="D37" s="454" t="str">
        <f>IFERROR(VLOOKUP(B37,'Packing List'!$B$19:$F$79,2,)," ")</f>
        <v xml:space="preserve"> </v>
      </c>
      <c r="E37" s="253" t="str">
        <f>IF(ISBLANK(B37)," ",SUMIF('Packing List'!$B$19:$B$79,B37,'Packing List'!$D$19:$D$79))</f>
        <v xml:space="preserve"> </v>
      </c>
      <c r="F37" s="254" t="str">
        <f>IF(ISBLANK(B37)," ",SUMIF('Packing List'!$B$19:$B$79,B37,'Packing List'!$F$19:$F$79))</f>
        <v xml:space="preserve"> </v>
      </c>
      <c r="G37" s="477"/>
      <c r="H37" s="528" t="str">
        <f t="shared" si="0"/>
        <v xml:space="preserve"> </v>
      </c>
      <c r="I37" s="59"/>
      <c r="K37" s="189"/>
      <c r="L37" s="189"/>
      <c r="M37" s="189"/>
      <c r="N37" s="189"/>
      <c r="O37" s="189"/>
      <c r="P37" s="189"/>
      <c r="Q37" s="189"/>
      <c r="R37" s="189"/>
    </row>
    <row r="38" spans="1:18">
      <c r="A38" s="251">
        <v>23</v>
      </c>
      <c r="B38" s="252"/>
      <c r="C38" s="451" t="str">
        <f>IFERROR(VLOOKUP(B38,Produits!$B$3:$G$102,5,)," ")</f>
        <v xml:space="preserve"> </v>
      </c>
      <c r="D38" s="454" t="str">
        <f>IFERROR(VLOOKUP(B38,'Packing List'!$B$19:$F$79,2,)," ")</f>
        <v xml:space="preserve"> </v>
      </c>
      <c r="E38" s="253" t="str">
        <f>IF(ISBLANK(B38)," ",SUMIF('Packing List'!$B$19:$B$79,B38,'Packing List'!$D$19:$D$79))</f>
        <v xml:space="preserve"> </v>
      </c>
      <c r="F38" s="254" t="str">
        <f>IF(ISBLANK(B38)," ",SUMIF('Packing List'!$B$19:$B$79,B38,'Packing List'!$F$19:$F$79))</f>
        <v xml:space="preserve"> </v>
      </c>
      <c r="G38" s="477"/>
      <c r="H38" s="528" t="str">
        <f t="shared" si="0"/>
        <v xml:space="preserve"> </v>
      </c>
      <c r="I38" s="59"/>
      <c r="K38" s="189"/>
      <c r="L38" s="189"/>
      <c r="M38" s="189"/>
      <c r="N38" s="189"/>
      <c r="O38" s="189"/>
      <c r="P38" s="189"/>
      <c r="Q38" s="189"/>
      <c r="R38" s="189"/>
    </row>
    <row r="39" spans="1:18">
      <c r="A39" s="251">
        <v>24</v>
      </c>
      <c r="B39" s="252"/>
      <c r="C39" s="451" t="str">
        <f>IFERROR(VLOOKUP(B39,Produits!$B$3:$G$102,5,)," ")</f>
        <v xml:space="preserve"> </v>
      </c>
      <c r="D39" s="454" t="str">
        <f>IFERROR(VLOOKUP(B39,'Packing List'!$B$19:$F$79,2,)," ")</f>
        <v xml:space="preserve"> </v>
      </c>
      <c r="E39" s="253" t="str">
        <f>IF(ISBLANK(B39)," ",SUMIF('Packing List'!$B$19:$B$79,B39,'Packing List'!$D$19:$D$79))</f>
        <v xml:space="preserve"> </v>
      </c>
      <c r="F39" s="254" t="str">
        <f>IF(ISBLANK(B39)," ",SUMIF('Packing List'!$B$19:$B$79,B39,'Packing List'!$F$19:$F$79))</f>
        <v xml:space="preserve"> </v>
      </c>
      <c r="G39" s="477"/>
      <c r="H39" s="528" t="str">
        <f t="shared" si="0"/>
        <v xml:space="preserve"> </v>
      </c>
      <c r="I39" s="59"/>
      <c r="K39" s="189"/>
      <c r="L39" s="189"/>
      <c r="M39" s="189"/>
      <c r="N39" s="189"/>
      <c r="O39" s="189"/>
      <c r="P39" s="189"/>
      <c r="Q39" s="189"/>
      <c r="R39" s="189"/>
    </row>
    <row r="40" spans="1:18">
      <c r="A40" s="251">
        <v>25</v>
      </c>
      <c r="B40" s="252"/>
      <c r="C40" s="451" t="str">
        <f>IFERROR(VLOOKUP(B40,Produits!$B$3:$G$102,5,)," ")</f>
        <v xml:space="preserve"> </v>
      </c>
      <c r="D40" s="454" t="str">
        <f>IFERROR(VLOOKUP(B40,'Packing List'!$B$19:$F$79,2,)," ")</f>
        <v xml:space="preserve"> </v>
      </c>
      <c r="E40" s="253" t="str">
        <f>IF(ISBLANK(B40)," ",SUMIF('Packing List'!$B$19:$B$79,B40,'Packing List'!$D$19:$D$79))</f>
        <v xml:space="preserve"> </v>
      </c>
      <c r="F40" s="254" t="str">
        <f>IF(ISBLANK(B40)," ",SUMIF('Packing List'!$B$19:$B$79,B40,'Packing List'!$F$19:$F$79))</f>
        <v xml:space="preserve"> </v>
      </c>
      <c r="G40" s="477"/>
      <c r="H40" s="528" t="str">
        <f t="shared" si="0"/>
        <v xml:space="preserve"> </v>
      </c>
      <c r="I40" s="59"/>
      <c r="K40" s="189"/>
      <c r="L40" s="189"/>
      <c r="M40" s="189"/>
      <c r="N40" s="189"/>
      <c r="O40" s="189"/>
      <c r="P40" s="189"/>
      <c r="Q40" s="189"/>
      <c r="R40" s="189"/>
    </row>
    <row r="41" spans="1:18">
      <c r="A41" s="251">
        <v>26</v>
      </c>
      <c r="B41" s="252"/>
      <c r="C41" s="451" t="str">
        <f>IFERROR(VLOOKUP(B41,Produits!$B$3:$G$102,5,)," ")</f>
        <v xml:space="preserve"> </v>
      </c>
      <c r="D41" s="454" t="str">
        <f>IFERROR(VLOOKUP(B41,'Packing List'!$B$19:$F$79,2,)," ")</f>
        <v xml:space="preserve"> </v>
      </c>
      <c r="E41" s="253" t="str">
        <f>IF(ISBLANK(B41)," ",SUMIF('Packing List'!$B$19:$B$79,B41,'Packing List'!$D$19:$D$79))</f>
        <v xml:space="preserve"> </v>
      </c>
      <c r="F41" s="254" t="str">
        <f>IF(ISBLANK(B41)," ",SUMIF('Packing List'!$B$19:$B$79,B41,'Packing List'!$F$19:$F$79))</f>
        <v xml:space="preserve"> </v>
      </c>
      <c r="G41" s="477"/>
      <c r="H41" s="528" t="str">
        <f t="shared" si="0"/>
        <v xml:space="preserve"> </v>
      </c>
      <c r="I41" s="59"/>
      <c r="K41" s="189"/>
      <c r="L41" s="189"/>
      <c r="M41" s="189"/>
      <c r="N41" s="189"/>
      <c r="O41" s="189"/>
      <c r="P41" s="189"/>
      <c r="Q41" s="189"/>
      <c r="R41" s="189"/>
    </row>
    <row r="42" spans="1:18" ht="13.5" thickBot="1">
      <c r="A42" s="251">
        <v>27</v>
      </c>
      <c r="B42" s="252"/>
      <c r="C42" s="452" t="str">
        <f>IFERROR(VLOOKUP(B42,Produits!$B$3:$G$102,5,)," ")</f>
        <v xml:space="preserve"> </v>
      </c>
      <c r="D42" s="454" t="str">
        <f>IFERROR(VLOOKUP(B42,'Packing List'!$B$19:$F$79,2,)," ")</f>
        <v xml:space="preserve"> </v>
      </c>
      <c r="E42" s="253" t="str">
        <f>IF(ISBLANK(B42)," ",SUMIF('Packing List'!$B$19:$B$79,B42,'Packing List'!$D$19:$D$79))</f>
        <v xml:space="preserve"> </v>
      </c>
      <c r="F42" s="254" t="str">
        <f>IF(ISBLANK(B42)," ",SUMIF('Packing List'!$B$19:$B$79,B42,'Packing List'!$F$19:$F$79))</f>
        <v xml:space="preserve"> </v>
      </c>
      <c r="G42" s="477"/>
      <c r="H42" s="528" t="str">
        <f t="shared" si="0"/>
        <v xml:space="preserve"> </v>
      </c>
      <c r="I42" s="59"/>
      <c r="K42" s="189"/>
      <c r="L42" s="189"/>
      <c r="M42" s="189"/>
      <c r="N42" s="189"/>
      <c r="O42" s="189"/>
      <c r="P42" s="189"/>
      <c r="Q42" s="189"/>
      <c r="R42" s="189"/>
    </row>
    <row r="43" spans="1:18" ht="15" customHeight="1" thickTop="1" thickBot="1">
      <c r="A43" s="251"/>
      <c r="B43" s="268"/>
      <c r="C43" s="442"/>
      <c r="D43" s="269"/>
      <c r="E43" s="270"/>
      <c r="F43" s="271" t="str">
        <f>+C13</f>
        <v>USD - US Dollar</v>
      </c>
      <c r="G43" s="479"/>
      <c r="H43" s="529">
        <f>+SUM(H16:H42)</f>
        <v>14058.24</v>
      </c>
      <c r="I43" s="272"/>
      <c r="J43" s="273">
        <f>+SUM(H16:H42)</f>
        <v>14058.24</v>
      </c>
      <c r="M43" s="189"/>
      <c r="N43" s="189"/>
      <c r="O43" s="189"/>
      <c r="P43" s="189"/>
      <c r="Q43" s="189"/>
      <c r="R43" s="189"/>
    </row>
    <row r="44" spans="1:18" ht="6" customHeight="1">
      <c r="B44" s="274"/>
      <c r="C44" s="443"/>
      <c r="D44" s="274"/>
      <c r="E44" s="275"/>
      <c r="F44" s="276"/>
      <c r="G44" s="480"/>
      <c r="H44" s="277"/>
      <c r="I44" s="272"/>
      <c r="J44" s="278"/>
      <c r="M44" s="189"/>
      <c r="N44" s="189"/>
      <c r="O44" s="189"/>
      <c r="P44" s="189"/>
      <c r="Q44" s="189"/>
      <c r="R44" s="189"/>
    </row>
    <row r="45" spans="1:18" ht="15" customHeight="1">
      <c r="A45" s="219"/>
      <c r="B45" s="550" t="e">
        <f ca="1">_xll.NBTEXTE(H43,2,1,"US Dollar and","US Dollars and","Cent","Cents",0)</f>
        <v>#NAME?</v>
      </c>
      <c r="C45" s="550"/>
      <c r="D45" s="550"/>
      <c r="E45" s="550"/>
      <c r="F45" s="550"/>
      <c r="G45" s="551"/>
      <c r="H45" s="550"/>
      <c r="I45" s="75"/>
      <c r="J45" s="279">
        <f>+SUM(F16:F42)</f>
        <v>3.5679999999999996</v>
      </c>
      <c r="M45" s="189"/>
      <c r="N45" s="189"/>
      <c r="O45" s="189"/>
      <c r="P45" s="189"/>
      <c r="Q45" s="189"/>
      <c r="R45" s="189"/>
    </row>
    <row r="46" spans="1:18" ht="6" customHeight="1">
      <c r="A46" s="219"/>
      <c r="B46" s="264"/>
      <c r="C46" s="219"/>
      <c r="D46" s="264"/>
      <c r="E46" s="264"/>
      <c r="F46" s="264"/>
      <c r="G46" s="481"/>
      <c r="H46" s="264"/>
      <c r="J46" s="280"/>
      <c r="M46" s="189"/>
      <c r="N46" s="189"/>
      <c r="O46" s="189"/>
      <c r="P46" s="189"/>
      <c r="Q46" s="189"/>
      <c r="R46" s="189"/>
    </row>
    <row r="47" spans="1:18" ht="15">
      <c r="A47" s="219"/>
      <c r="B47" s="281" t="s">
        <v>619</v>
      </c>
      <c r="C47" s="282">
        <f>'Packing List'!C81</f>
        <v>3.5679999999999996</v>
      </c>
      <c r="E47" s="264"/>
      <c r="F47" s="264"/>
      <c r="G47" s="482"/>
      <c r="H47" s="283"/>
      <c r="I47" s="280"/>
      <c r="J47" s="257"/>
      <c r="M47" s="189"/>
      <c r="N47" s="189"/>
      <c r="O47" s="189"/>
      <c r="P47" s="189"/>
      <c r="Q47" s="189"/>
      <c r="R47" s="189"/>
    </row>
    <row r="48" spans="1:18">
      <c r="A48" s="219"/>
      <c r="B48" s="281" t="s">
        <v>620</v>
      </c>
      <c r="C48" s="282">
        <f>'Packing List'!C82</f>
        <v>3.9709999999999996</v>
      </c>
      <c r="E48" s="264"/>
      <c r="F48" s="264"/>
      <c r="G48" s="481"/>
      <c r="H48" s="264"/>
      <c r="M48" s="189"/>
      <c r="N48" s="189"/>
      <c r="O48" s="189"/>
      <c r="P48" s="189"/>
      <c r="Q48" s="189"/>
      <c r="R48" s="189"/>
    </row>
    <row r="49" spans="1:18" ht="15">
      <c r="A49" s="219"/>
      <c r="B49" s="284" t="s">
        <v>621</v>
      </c>
      <c r="C49" s="285">
        <f>'Packing List'!C83</f>
        <v>1</v>
      </c>
      <c r="E49" s="264"/>
      <c r="F49" s="264"/>
      <c r="G49" s="481"/>
      <c r="H49" s="264"/>
      <c r="J49" s="286"/>
      <c r="M49" s="189"/>
      <c r="N49" s="189"/>
      <c r="O49" s="189"/>
      <c r="P49" s="189"/>
      <c r="Q49" s="189"/>
      <c r="R49" s="189"/>
    </row>
    <row r="50" spans="1:18" ht="15">
      <c r="A50" s="219"/>
      <c r="B50" s="287" t="s">
        <v>622</v>
      </c>
      <c r="C50" s="282">
        <f>'Packing List'!C84</f>
        <v>1.4999999999999999E-2</v>
      </c>
      <c r="E50" s="264"/>
      <c r="F50" s="264"/>
      <c r="G50" s="481"/>
      <c r="H50" s="264"/>
      <c r="J50" s="286"/>
      <c r="M50" s="189"/>
      <c r="N50" s="189"/>
      <c r="O50" s="189"/>
      <c r="P50" s="189"/>
      <c r="Q50" s="189"/>
      <c r="R50" s="189"/>
    </row>
    <row r="51" spans="1:18" ht="15">
      <c r="A51" s="219"/>
      <c r="B51" s="288" t="s">
        <v>615</v>
      </c>
      <c r="C51" s="289" t="str">
        <f>J6</f>
        <v>FOB</v>
      </c>
      <c r="D51" s="290"/>
      <c r="E51" s="286"/>
      <c r="F51" s="286"/>
      <c r="G51" s="483"/>
      <c r="H51" s="286"/>
      <c r="I51" s="286"/>
      <c r="M51" s="189"/>
      <c r="N51" s="189"/>
      <c r="O51" s="189"/>
      <c r="P51" s="189"/>
      <c r="Q51" s="189"/>
      <c r="R51" s="189"/>
    </row>
    <row r="52" spans="1:18" ht="15">
      <c r="A52" s="219"/>
      <c r="B52" s="291"/>
      <c r="C52" s="444"/>
      <c r="D52" s="286"/>
      <c r="E52" s="286"/>
      <c r="F52" s="286"/>
      <c r="G52" s="483"/>
      <c r="H52" s="286"/>
      <c r="I52" s="286"/>
      <c r="J52" s="292"/>
      <c r="M52" s="189"/>
      <c r="N52" s="189"/>
      <c r="O52" s="189"/>
      <c r="P52" s="189"/>
      <c r="Q52" s="189"/>
      <c r="R52" s="189"/>
    </row>
    <row r="53" spans="1:18">
      <c r="A53" s="219"/>
      <c r="B53" s="547" t="s">
        <v>404</v>
      </c>
      <c r="C53" s="547"/>
      <c r="D53" s="547"/>
      <c r="E53" s="547"/>
      <c r="F53" s="547"/>
      <c r="G53" s="548"/>
      <c r="H53" s="547"/>
      <c r="I53" s="293"/>
      <c r="J53" s="293"/>
      <c r="M53" s="189"/>
      <c r="N53" s="189"/>
      <c r="O53" s="189"/>
      <c r="P53" s="189"/>
      <c r="Q53" s="189"/>
      <c r="R53" s="189"/>
    </row>
    <row r="54" spans="1:18">
      <c r="A54" s="219"/>
      <c r="B54" s="294"/>
      <c r="C54" s="445"/>
      <c r="D54" s="294"/>
      <c r="E54" s="294"/>
      <c r="F54" s="294"/>
      <c r="G54" s="484"/>
      <c r="H54" s="294"/>
      <c r="I54" s="292"/>
      <c r="J54" s="293"/>
      <c r="M54" s="189"/>
      <c r="N54" s="189"/>
      <c r="O54" s="189"/>
      <c r="P54" s="189"/>
      <c r="Q54" s="189"/>
      <c r="R54" s="189"/>
    </row>
    <row r="55" spans="1:18">
      <c r="A55" s="219"/>
      <c r="B55" s="549" t="s">
        <v>400</v>
      </c>
      <c r="C55" s="547"/>
      <c r="D55" s="547"/>
      <c r="E55" s="547"/>
      <c r="F55" s="547"/>
      <c r="G55" s="548"/>
      <c r="H55" s="547"/>
      <c r="I55" s="293"/>
      <c r="J55" s="293"/>
      <c r="M55" s="189"/>
      <c r="N55" s="189"/>
      <c r="O55" s="189"/>
      <c r="P55" s="189"/>
      <c r="Q55" s="189"/>
      <c r="R55" s="189"/>
    </row>
    <row r="56" spans="1:18">
      <c r="A56" s="219"/>
      <c r="B56" s="547" t="s">
        <v>401</v>
      </c>
      <c r="C56" s="547"/>
      <c r="D56" s="547"/>
      <c r="E56" s="547"/>
      <c r="F56" s="547"/>
      <c r="G56" s="548"/>
      <c r="H56" s="547"/>
      <c r="I56" s="293"/>
      <c r="J56" s="295"/>
      <c r="M56" s="189"/>
      <c r="N56" s="189"/>
      <c r="O56" s="189"/>
      <c r="P56" s="189"/>
      <c r="Q56" s="189"/>
      <c r="R56" s="189"/>
    </row>
    <row r="57" spans="1:18">
      <c r="A57" s="219"/>
      <c r="B57" s="547" t="s">
        <v>402</v>
      </c>
      <c r="C57" s="547"/>
      <c r="D57" s="547"/>
      <c r="E57" s="547"/>
      <c r="F57" s="547"/>
      <c r="G57" s="548"/>
      <c r="H57" s="547"/>
      <c r="I57" s="293"/>
      <c r="J57" s="292"/>
      <c r="M57" s="189"/>
      <c r="N57" s="189"/>
      <c r="O57" s="189"/>
      <c r="P57" s="189"/>
      <c r="Q57" s="189"/>
      <c r="R57" s="189"/>
    </row>
    <row r="58" spans="1:18">
      <c r="A58" s="219"/>
      <c r="B58" s="547" t="s">
        <v>403</v>
      </c>
      <c r="C58" s="547"/>
      <c r="D58" s="547"/>
      <c r="E58" s="547"/>
      <c r="F58" s="547"/>
      <c r="G58" s="548"/>
      <c r="H58" s="547"/>
      <c r="I58" s="293"/>
      <c r="M58" s="189"/>
      <c r="N58" s="189"/>
      <c r="O58" s="189"/>
      <c r="P58" s="189"/>
      <c r="Q58" s="189"/>
      <c r="R58" s="189"/>
    </row>
    <row r="59" spans="1:18">
      <c r="B59" s="292"/>
      <c r="C59" s="446"/>
      <c r="D59" s="292"/>
      <c r="E59" s="292"/>
      <c r="F59" s="292"/>
      <c r="G59" s="485"/>
      <c r="H59" s="292"/>
      <c r="I59" s="292"/>
      <c r="M59" s="189"/>
      <c r="N59" s="189"/>
      <c r="O59" s="189"/>
      <c r="P59" s="189"/>
      <c r="Q59" s="189"/>
      <c r="R59" s="189"/>
    </row>
    <row r="60" spans="1:18">
      <c r="J60" s="267"/>
      <c r="M60" s="189"/>
      <c r="N60" s="189"/>
      <c r="O60" s="189"/>
      <c r="P60" s="189"/>
      <c r="Q60" s="189"/>
      <c r="R60" s="189"/>
    </row>
    <row r="61" spans="1:18">
      <c r="M61" s="189"/>
      <c r="N61" s="189"/>
      <c r="O61" s="189"/>
      <c r="P61" s="189"/>
      <c r="Q61" s="189"/>
      <c r="R61" s="189"/>
    </row>
    <row r="62" spans="1:18">
      <c r="M62" s="189"/>
      <c r="N62" s="189"/>
      <c r="O62" s="189"/>
      <c r="P62" s="189"/>
      <c r="Q62" s="189"/>
      <c r="R62" s="189"/>
    </row>
    <row r="63" spans="1:18">
      <c r="M63" s="189"/>
      <c r="N63" s="189"/>
      <c r="O63" s="189"/>
      <c r="P63" s="189"/>
      <c r="Q63" s="189"/>
      <c r="R63" s="189"/>
    </row>
    <row r="64" spans="1:18" ht="15">
      <c r="B64" s="237"/>
      <c r="C64" s="447"/>
      <c r="M64" s="189"/>
      <c r="N64" s="189"/>
      <c r="O64" s="189"/>
      <c r="P64" s="189"/>
      <c r="Q64" s="189"/>
      <c r="R64" s="189"/>
    </row>
    <row r="65" spans="10:18">
      <c r="M65" s="189"/>
      <c r="N65" s="189"/>
      <c r="O65" s="189"/>
      <c r="P65" s="189"/>
      <c r="Q65" s="189"/>
      <c r="R65" s="189"/>
    </row>
    <row r="66" spans="10:18">
      <c r="M66" s="189"/>
      <c r="N66" s="189"/>
      <c r="O66" s="189"/>
      <c r="P66" s="189"/>
      <c r="Q66" s="189"/>
      <c r="R66" s="189"/>
    </row>
    <row r="67" spans="10:18">
      <c r="M67" s="189"/>
      <c r="N67" s="189"/>
      <c r="O67" s="189"/>
      <c r="P67" s="189"/>
      <c r="Q67" s="189"/>
      <c r="R67" s="189"/>
    </row>
    <row r="68" spans="10:18">
      <c r="M68" s="189"/>
      <c r="N68" s="189"/>
      <c r="O68" s="189"/>
      <c r="P68" s="189"/>
      <c r="Q68" s="189"/>
      <c r="R68" s="189"/>
    </row>
    <row r="69" spans="10:18">
      <c r="M69" s="189"/>
      <c r="N69" s="189"/>
      <c r="O69" s="189"/>
      <c r="P69" s="189"/>
      <c r="Q69" s="189"/>
      <c r="R69" s="189"/>
    </row>
    <row r="70" spans="10:18">
      <c r="M70" s="189"/>
      <c r="N70" s="189"/>
      <c r="O70" s="189"/>
      <c r="P70" s="189"/>
      <c r="Q70" s="189"/>
      <c r="R70" s="189"/>
    </row>
    <row r="71" spans="10:18">
      <c r="M71" s="189"/>
      <c r="N71" s="189"/>
      <c r="O71" s="189"/>
      <c r="P71" s="189"/>
      <c r="Q71" s="189"/>
      <c r="R71" s="189"/>
    </row>
    <row r="72" spans="10:18">
      <c r="M72" s="189"/>
      <c r="N72" s="189"/>
      <c r="O72" s="189"/>
      <c r="P72" s="189"/>
      <c r="Q72" s="189"/>
      <c r="R72" s="189"/>
    </row>
    <row r="73" spans="10:18">
      <c r="M73" s="189"/>
      <c r="N73" s="189"/>
      <c r="O73" s="189"/>
      <c r="P73" s="189"/>
      <c r="Q73" s="189"/>
      <c r="R73" s="189"/>
    </row>
    <row r="74" spans="10:18">
      <c r="M74" s="189"/>
      <c r="N74" s="189"/>
      <c r="O74" s="189"/>
      <c r="P74" s="189"/>
      <c r="Q74" s="189"/>
      <c r="R74" s="189"/>
    </row>
    <row r="75" spans="10:18">
      <c r="M75" s="189"/>
      <c r="N75" s="189"/>
      <c r="O75" s="189"/>
      <c r="P75" s="189"/>
      <c r="Q75" s="189"/>
      <c r="R75" s="189"/>
    </row>
    <row r="76" spans="10:18">
      <c r="M76" s="189"/>
      <c r="N76" s="189"/>
      <c r="O76" s="189"/>
      <c r="P76" s="189"/>
      <c r="Q76" s="189"/>
      <c r="R76" s="189"/>
    </row>
    <row r="77" spans="10:18">
      <c r="M77" s="189"/>
      <c r="N77" s="189"/>
      <c r="O77" s="189"/>
      <c r="P77" s="189"/>
      <c r="Q77" s="189"/>
      <c r="R77" s="189"/>
    </row>
    <row r="78" spans="10:18">
      <c r="J78" s="191"/>
      <c r="M78" s="189"/>
      <c r="N78" s="189"/>
      <c r="O78" s="189"/>
      <c r="P78" s="189"/>
      <c r="Q78" s="189"/>
      <c r="R78" s="189"/>
    </row>
    <row r="79" spans="10:18">
      <c r="J79" s="191"/>
      <c r="M79" s="189"/>
      <c r="N79" s="189"/>
      <c r="O79" s="189"/>
      <c r="P79" s="189"/>
      <c r="Q79" s="189"/>
      <c r="R79" s="189"/>
    </row>
    <row r="80" spans="10:18">
      <c r="J80" s="191"/>
      <c r="M80" s="189"/>
      <c r="N80" s="189"/>
      <c r="O80" s="189"/>
      <c r="P80" s="189"/>
      <c r="Q80" s="189"/>
      <c r="R80" s="189"/>
    </row>
    <row r="81" spans="10:18">
      <c r="J81" s="191"/>
      <c r="M81" s="189"/>
      <c r="N81" s="189"/>
      <c r="O81" s="189"/>
      <c r="P81" s="189"/>
      <c r="Q81" s="189"/>
      <c r="R81" s="189"/>
    </row>
    <row r="82" spans="10:18">
      <c r="J82" s="191"/>
      <c r="M82" s="189"/>
      <c r="N82" s="189"/>
      <c r="O82" s="189"/>
      <c r="P82" s="189"/>
      <c r="Q82" s="189"/>
      <c r="R82" s="189"/>
    </row>
    <row r="83" spans="10:18">
      <c r="J83" s="191"/>
      <c r="M83" s="189"/>
      <c r="N83" s="189"/>
      <c r="O83" s="189"/>
      <c r="P83" s="189"/>
      <c r="Q83" s="189"/>
      <c r="R83" s="189"/>
    </row>
    <row r="84" spans="10:18">
      <c r="J84" s="191"/>
      <c r="M84" s="189"/>
      <c r="N84" s="189"/>
      <c r="O84" s="189"/>
      <c r="P84" s="189"/>
      <c r="Q84" s="189"/>
      <c r="R84" s="189"/>
    </row>
    <row r="85" spans="10:18">
      <c r="J85" s="191"/>
      <c r="M85" s="189"/>
      <c r="N85" s="189"/>
      <c r="O85" s="189"/>
      <c r="P85" s="189"/>
      <c r="Q85" s="189"/>
      <c r="R85" s="189"/>
    </row>
    <row r="86" spans="10:18">
      <c r="J86" s="191"/>
      <c r="M86" s="189"/>
      <c r="N86" s="189"/>
      <c r="O86" s="189"/>
      <c r="P86" s="189"/>
      <c r="Q86" s="189"/>
      <c r="R86" s="189"/>
    </row>
    <row r="87" spans="10:18">
      <c r="J87" s="191"/>
      <c r="M87" s="189"/>
      <c r="N87" s="189"/>
      <c r="O87" s="189"/>
      <c r="P87" s="189"/>
      <c r="Q87" s="189"/>
      <c r="R87" s="189"/>
    </row>
    <row r="88" spans="10:18">
      <c r="J88" s="191"/>
      <c r="M88" s="189"/>
      <c r="N88" s="189"/>
      <c r="O88" s="189"/>
      <c r="P88" s="189"/>
      <c r="Q88" s="189"/>
      <c r="R88" s="189"/>
    </row>
    <row r="89" spans="10:18">
      <c r="J89" s="191"/>
      <c r="M89" s="189"/>
      <c r="N89" s="189"/>
      <c r="O89" s="189"/>
      <c r="P89" s="189"/>
      <c r="Q89" s="189"/>
      <c r="R89" s="189"/>
    </row>
    <row r="90" spans="10:18">
      <c r="J90" s="191"/>
      <c r="M90" s="189"/>
      <c r="N90" s="189"/>
      <c r="O90" s="189"/>
      <c r="P90" s="189"/>
      <c r="Q90" s="189"/>
      <c r="R90" s="189"/>
    </row>
    <row r="91" spans="10:18">
      <c r="J91" s="191"/>
      <c r="M91" s="189"/>
      <c r="N91" s="189"/>
      <c r="O91" s="189"/>
      <c r="P91" s="189"/>
      <c r="Q91" s="189"/>
      <c r="R91" s="189"/>
    </row>
    <row r="92" spans="10:18">
      <c r="J92" s="191"/>
      <c r="M92" s="189"/>
      <c r="N92" s="189"/>
      <c r="O92" s="189"/>
      <c r="P92" s="189"/>
      <c r="Q92" s="189"/>
      <c r="R92" s="189"/>
    </row>
    <row r="93" spans="10:18">
      <c r="J93" s="191"/>
      <c r="M93" s="189"/>
      <c r="N93" s="189"/>
      <c r="O93" s="189"/>
      <c r="P93" s="189"/>
      <c r="Q93" s="189"/>
      <c r="R93" s="189"/>
    </row>
    <row r="94" spans="10:18">
      <c r="J94" s="191"/>
      <c r="M94" s="189"/>
      <c r="N94" s="189"/>
      <c r="O94" s="189"/>
      <c r="P94" s="189"/>
      <c r="Q94" s="189"/>
      <c r="R94" s="189"/>
    </row>
    <row r="95" spans="10:18">
      <c r="J95" s="191"/>
      <c r="M95" s="189"/>
      <c r="N95" s="189"/>
      <c r="O95" s="189"/>
      <c r="P95" s="189"/>
      <c r="Q95" s="189"/>
      <c r="R95" s="189"/>
    </row>
    <row r="96" spans="10:18">
      <c r="J96" s="191"/>
      <c r="M96" s="189"/>
      <c r="N96" s="189"/>
      <c r="O96" s="189"/>
      <c r="P96" s="189"/>
      <c r="Q96" s="189"/>
      <c r="R96" s="189"/>
    </row>
    <row r="97" spans="10:18">
      <c r="J97" s="191"/>
      <c r="M97" s="189"/>
      <c r="N97" s="189"/>
      <c r="O97" s="189"/>
      <c r="P97" s="189"/>
      <c r="Q97" s="189"/>
      <c r="R97" s="189"/>
    </row>
    <row r="98" spans="10:18">
      <c r="J98" s="191"/>
      <c r="M98" s="189"/>
      <c r="N98" s="189"/>
      <c r="O98" s="189"/>
      <c r="P98" s="189"/>
      <c r="Q98" s="189"/>
      <c r="R98" s="189"/>
    </row>
    <row r="99" spans="10:18">
      <c r="J99" s="191"/>
      <c r="M99" s="189"/>
      <c r="N99" s="189"/>
      <c r="O99" s="189"/>
      <c r="P99" s="189"/>
      <c r="Q99" s="189"/>
      <c r="R99" s="189"/>
    </row>
    <row r="100" spans="10:18">
      <c r="J100" s="191"/>
      <c r="M100" s="189"/>
      <c r="N100" s="189"/>
      <c r="O100" s="189"/>
      <c r="P100" s="189"/>
      <c r="Q100" s="189"/>
      <c r="R100" s="189"/>
    </row>
    <row r="101" spans="10:18">
      <c r="J101" s="191"/>
      <c r="M101" s="189"/>
      <c r="N101" s="189"/>
      <c r="O101" s="189"/>
      <c r="P101" s="189"/>
      <c r="Q101" s="189"/>
      <c r="R101" s="189"/>
    </row>
    <row r="102" spans="10:18">
      <c r="J102" s="191"/>
      <c r="M102" s="189"/>
      <c r="N102" s="189"/>
      <c r="O102" s="189"/>
      <c r="P102" s="189"/>
      <c r="Q102" s="189"/>
      <c r="R102" s="189"/>
    </row>
    <row r="103" spans="10:18">
      <c r="J103" s="191"/>
      <c r="M103" s="189"/>
      <c r="N103" s="189"/>
      <c r="O103" s="189"/>
      <c r="P103" s="189"/>
      <c r="Q103" s="189"/>
      <c r="R103" s="189"/>
    </row>
    <row r="104" spans="10:18">
      <c r="J104" s="191"/>
      <c r="M104" s="189"/>
      <c r="N104" s="189"/>
      <c r="O104" s="189"/>
      <c r="P104" s="189"/>
      <c r="Q104" s="189"/>
      <c r="R104" s="189"/>
    </row>
    <row r="105" spans="10:18">
      <c r="J105" s="191"/>
      <c r="M105" s="189"/>
      <c r="N105" s="189"/>
      <c r="O105" s="189"/>
      <c r="P105" s="189"/>
      <c r="Q105" s="189"/>
      <c r="R105" s="189"/>
    </row>
    <row r="106" spans="10:18">
      <c r="J106" s="191"/>
      <c r="M106" s="189"/>
      <c r="N106" s="189"/>
      <c r="O106" s="189"/>
      <c r="P106" s="189"/>
      <c r="Q106" s="189"/>
      <c r="R106" s="189"/>
    </row>
    <row r="107" spans="10:18">
      <c r="J107" s="191"/>
      <c r="M107" s="189"/>
      <c r="N107" s="189"/>
      <c r="O107" s="189"/>
      <c r="P107" s="189"/>
      <c r="Q107" s="189"/>
      <c r="R107" s="189"/>
    </row>
    <row r="108" spans="10:18">
      <c r="J108" s="191"/>
      <c r="M108" s="189"/>
      <c r="N108" s="189"/>
      <c r="O108" s="189"/>
      <c r="P108" s="189"/>
      <c r="Q108" s="189"/>
      <c r="R108" s="189"/>
    </row>
    <row r="109" spans="10:18">
      <c r="J109" s="191"/>
      <c r="M109" s="189"/>
      <c r="N109" s="189"/>
      <c r="O109" s="189"/>
      <c r="P109" s="189"/>
      <c r="Q109" s="189"/>
      <c r="R109" s="189"/>
    </row>
    <row r="110" spans="10:18">
      <c r="J110" s="191"/>
      <c r="M110" s="189"/>
      <c r="N110" s="189"/>
      <c r="O110" s="189"/>
      <c r="P110" s="189"/>
      <c r="Q110" s="189"/>
      <c r="R110" s="189"/>
    </row>
    <row r="111" spans="10:18">
      <c r="J111" s="191"/>
      <c r="M111" s="189"/>
      <c r="N111" s="189"/>
      <c r="O111" s="189"/>
      <c r="P111" s="189"/>
      <c r="Q111" s="189"/>
      <c r="R111" s="189"/>
    </row>
    <row r="112" spans="10:18">
      <c r="J112" s="191"/>
      <c r="M112" s="189"/>
      <c r="N112" s="189"/>
      <c r="O112" s="189"/>
      <c r="P112" s="189"/>
      <c r="Q112" s="189"/>
      <c r="R112" s="189"/>
    </row>
    <row r="113" spans="10:18">
      <c r="J113" s="191"/>
      <c r="M113" s="189"/>
      <c r="N113" s="189"/>
      <c r="O113" s="189"/>
      <c r="P113" s="189"/>
      <c r="Q113" s="189"/>
      <c r="R113" s="189"/>
    </row>
    <row r="114" spans="10:18">
      <c r="J114" s="191"/>
      <c r="M114" s="189"/>
      <c r="N114" s="189"/>
      <c r="O114" s="189"/>
      <c r="P114" s="189"/>
      <c r="Q114" s="189"/>
      <c r="R114" s="189"/>
    </row>
    <row r="115" spans="10:18">
      <c r="J115" s="191"/>
      <c r="M115" s="189"/>
      <c r="N115" s="189"/>
      <c r="O115" s="189"/>
      <c r="P115" s="189"/>
      <c r="Q115" s="189"/>
      <c r="R115" s="189"/>
    </row>
    <row r="116" spans="10:18">
      <c r="J116" s="191"/>
      <c r="M116" s="189"/>
      <c r="N116" s="189"/>
      <c r="O116" s="189"/>
      <c r="P116" s="189"/>
      <c r="Q116" s="189"/>
      <c r="R116" s="189"/>
    </row>
    <row r="117" spans="10:18">
      <c r="J117" s="191"/>
      <c r="M117" s="189"/>
      <c r="N117" s="189"/>
      <c r="O117" s="189"/>
      <c r="P117" s="189"/>
      <c r="Q117" s="189"/>
      <c r="R117" s="189"/>
    </row>
    <row r="118" spans="10:18">
      <c r="J118" s="191"/>
      <c r="M118" s="189"/>
      <c r="N118" s="189"/>
      <c r="O118" s="189"/>
      <c r="P118" s="189"/>
      <c r="Q118" s="189"/>
      <c r="R118" s="189"/>
    </row>
    <row r="119" spans="10:18">
      <c r="J119" s="191"/>
      <c r="M119" s="189"/>
      <c r="N119" s="189"/>
      <c r="O119" s="189"/>
      <c r="P119" s="189"/>
      <c r="Q119" s="189"/>
      <c r="R119" s="189"/>
    </row>
    <row r="120" spans="10:18">
      <c r="J120" s="191"/>
      <c r="M120" s="189"/>
      <c r="N120" s="189"/>
      <c r="O120" s="189"/>
      <c r="P120" s="189"/>
      <c r="Q120" s="189"/>
      <c r="R120" s="189"/>
    </row>
    <row r="121" spans="10:18">
      <c r="J121" s="191"/>
      <c r="M121" s="189"/>
      <c r="N121" s="189"/>
      <c r="O121" s="189"/>
      <c r="P121" s="189"/>
      <c r="Q121" s="189"/>
      <c r="R121" s="189"/>
    </row>
    <row r="122" spans="10:18">
      <c r="J122" s="191"/>
      <c r="M122" s="189"/>
      <c r="N122" s="189"/>
      <c r="O122" s="189"/>
      <c r="P122" s="189"/>
      <c r="Q122" s="189"/>
      <c r="R122" s="189"/>
    </row>
    <row r="123" spans="10:18">
      <c r="J123" s="191"/>
      <c r="M123" s="189"/>
      <c r="N123" s="189"/>
      <c r="O123" s="189"/>
      <c r="P123" s="189"/>
      <c r="Q123" s="189"/>
      <c r="R123" s="189"/>
    </row>
    <row r="124" spans="10:18">
      <c r="J124" s="191"/>
      <c r="M124" s="189"/>
      <c r="N124" s="189"/>
      <c r="O124" s="189"/>
      <c r="Q124" s="189"/>
      <c r="R124" s="189"/>
    </row>
    <row r="125" spans="10:18">
      <c r="J125" s="191"/>
      <c r="M125" s="189"/>
      <c r="N125" s="189"/>
      <c r="O125" s="189"/>
      <c r="Q125" s="189"/>
      <c r="R125" s="189"/>
    </row>
    <row r="126" spans="10:18">
      <c r="J126" s="191"/>
      <c r="M126" s="189"/>
      <c r="N126" s="189"/>
      <c r="O126" s="189"/>
      <c r="Q126" s="189"/>
      <c r="R126" s="189"/>
    </row>
    <row r="127" spans="10:18">
      <c r="J127" s="191"/>
      <c r="M127" s="189"/>
      <c r="N127" s="189"/>
      <c r="O127" s="189"/>
      <c r="Q127" s="189"/>
      <c r="R127" s="189"/>
    </row>
    <row r="128" spans="10:18">
      <c r="J128" s="191"/>
      <c r="M128" s="189"/>
      <c r="N128" s="189"/>
      <c r="O128" s="189"/>
      <c r="Q128" s="189"/>
      <c r="R128" s="189"/>
    </row>
    <row r="129" spans="10:18">
      <c r="J129" s="191"/>
      <c r="M129" s="189"/>
      <c r="N129" s="189"/>
      <c r="O129" s="189"/>
      <c r="Q129" s="189"/>
      <c r="R129" s="189"/>
    </row>
    <row r="130" spans="10:18">
      <c r="J130" s="191"/>
      <c r="M130" s="189"/>
      <c r="N130" s="189"/>
      <c r="O130" s="189"/>
      <c r="Q130" s="189"/>
      <c r="R130" s="189"/>
    </row>
    <row r="131" spans="10:18">
      <c r="J131" s="191"/>
      <c r="M131" s="189"/>
      <c r="N131" s="189"/>
      <c r="O131" s="189"/>
      <c r="Q131" s="189"/>
      <c r="R131" s="189"/>
    </row>
    <row r="132" spans="10:18">
      <c r="J132" s="191"/>
      <c r="M132" s="189"/>
      <c r="N132" s="189"/>
      <c r="O132" s="189"/>
      <c r="Q132" s="189"/>
      <c r="R132" s="189"/>
    </row>
    <row r="133" spans="10:18">
      <c r="J133" s="191"/>
      <c r="M133" s="189"/>
      <c r="N133" s="189"/>
      <c r="O133" s="189"/>
      <c r="Q133" s="189"/>
      <c r="R133" s="189"/>
    </row>
    <row r="134" spans="10:18">
      <c r="J134" s="191"/>
      <c r="M134" s="189"/>
      <c r="N134" s="189"/>
      <c r="O134" s="189"/>
      <c r="Q134" s="189"/>
      <c r="R134" s="189"/>
    </row>
    <row r="135" spans="10:18">
      <c r="J135" s="191"/>
      <c r="M135" s="189"/>
      <c r="N135" s="189"/>
      <c r="O135" s="189"/>
      <c r="Q135" s="189"/>
      <c r="R135" s="189"/>
    </row>
    <row r="136" spans="10:18">
      <c r="J136" s="191"/>
      <c r="M136" s="189"/>
      <c r="N136" s="189"/>
      <c r="O136" s="189"/>
      <c r="Q136" s="189"/>
      <c r="R136" s="189"/>
    </row>
    <row r="137" spans="10:18">
      <c r="J137" s="191"/>
      <c r="M137" s="189"/>
      <c r="N137" s="189"/>
      <c r="O137" s="189"/>
      <c r="Q137" s="189"/>
      <c r="R137" s="189"/>
    </row>
    <row r="138" spans="10:18">
      <c r="J138" s="191"/>
      <c r="M138" s="189"/>
      <c r="N138" s="189"/>
      <c r="O138" s="189"/>
      <c r="Q138" s="189"/>
      <c r="R138" s="189"/>
    </row>
    <row r="139" spans="10:18">
      <c r="J139" s="191"/>
      <c r="M139" s="189"/>
      <c r="N139" s="189"/>
      <c r="O139" s="189"/>
      <c r="Q139" s="189"/>
      <c r="R139" s="189"/>
    </row>
    <row r="140" spans="10:18">
      <c r="J140" s="191"/>
      <c r="M140" s="189"/>
      <c r="N140" s="189"/>
      <c r="O140" s="189"/>
      <c r="Q140" s="189"/>
      <c r="R140" s="189"/>
    </row>
    <row r="141" spans="10:18">
      <c r="J141" s="191"/>
      <c r="M141" s="189"/>
      <c r="N141" s="189"/>
      <c r="O141" s="189"/>
      <c r="Q141" s="189"/>
      <c r="R141" s="189"/>
    </row>
    <row r="142" spans="10:18">
      <c r="J142" s="191"/>
      <c r="M142" s="189"/>
      <c r="N142" s="189"/>
      <c r="O142" s="189"/>
      <c r="Q142" s="189"/>
      <c r="R142" s="189"/>
    </row>
    <row r="143" spans="10:18">
      <c r="J143" s="191"/>
      <c r="M143" s="189"/>
      <c r="N143" s="189"/>
      <c r="O143" s="189"/>
      <c r="Q143" s="189"/>
      <c r="R143" s="189"/>
    </row>
    <row r="144" spans="10:18">
      <c r="J144" s="191"/>
      <c r="M144" s="189"/>
      <c r="N144" s="189"/>
      <c r="O144" s="189"/>
      <c r="Q144" s="189"/>
      <c r="R144" s="189"/>
    </row>
    <row r="145" spans="10:18">
      <c r="J145" s="191"/>
      <c r="M145" s="189"/>
      <c r="N145" s="189"/>
      <c r="O145" s="189"/>
      <c r="Q145" s="189"/>
      <c r="R145" s="189"/>
    </row>
    <row r="146" spans="10:18">
      <c r="J146" s="191"/>
      <c r="M146" s="189"/>
      <c r="N146" s="189"/>
      <c r="O146" s="189"/>
      <c r="Q146" s="189"/>
      <c r="R146" s="189"/>
    </row>
    <row r="147" spans="10:18">
      <c r="J147" s="191"/>
      <c r="M147" s="189"/>
      <c r="N147" s="189"/>
      <c r="O147" s="189"/>
      <c r="Q147" s="189"/>
      <c r="R147" s="189"/>
    </row>
    <row r="148" spans="10:18">
      <c r="J148" s="191"/>
      <c r="M148" s="189"/>
      <c r="N148" s="189"/>
      <c r="O148" s="189"/>
      <c r="Q148" s="189"/>
      <c r="R148" s="189"/>
    </row>
    <row r="149" spans="10:18">
      <c r="J149" s="191"/>
      <c r="M149" s="189"/>
      <c r="N149" s="189"/>
      <c r="O149" s="189"/>
      <c r="Q149" s="189"/>
      <c r="R149" s="189"/>
    </row>
    <row r="150" spans="10:18">
      <c r="J150" s="191"/>
      <c r="M150" s="189"/>
      <c r="N150" s="189"/>
      <c r="O150" s="189"/>
      <c r="Q150" s="189"/>
      <c r="R150" s="189"/>
    </row>
    <row r="151" spans="10:18">
      <c r="J151" s="191"/>
      <c r="M151" s="189"/>
      <c r="N151" s="189"/>
      <c r="O151" s="189"/>
      <c r="Q151" s="189"/>
      <c r="R151" s="189"/>
    </row>
    <row r="152" spans="10:18">
      <c r="J152" s="191"/>
      <c r="M152" s="189"/>
      <c r="N152" s="189"/>
      <c r="O152" s="189"/>
      <c r="Q152" s="189"/>
      <c r="R152" s="189"/>
    </row>
    <row r="153" spans="10:18">
      <c r="J153" s="191"/>
      <c r="M153" s="189"/>
      <c r="N153" s="189"/>
      <c r="O153" s="189"/>
      <c r="Q153" s="189"/>
      <c r="R153" s="189"/>
    </row>
    <row r="154" spans="10:18">
      <c r="J154" s="191"/>
      <c r="M154" s="189"/>
      <c r="N154" s="189"/>
      <c r="O154" s="189"/>
      <c r="Q154" s="189"/>
      <c r="R154" s="189"/>
    </row>
    <row r="155" spans="10:18">
      <c r="J155" s="191"/>
      <c r="M155" s="189"/>
      <c r="N155" s="189"/>
      <c r="O155" s="189"/>
      <c r="Q155" s="189"/>
      <c r="R155" s="189"/>
    </row>
    <row r="156" spans="10:18">
      <c r="J156" s="191"/>
      <c r="M156" s="189"/>
      <c r="N156" s="189"/>
      <c r="O156" s="189"/>
      <c r="Q156" s="189"/>
      <c r="R156" s="189"/>
    </row>
    <row r="157" spans="10:18">
      <c r="J157" s="191"/>
      <c r="M157" s="189"/>
      <c r="N157" s="189"/>
      <c r="O157" s="189"/>
      <c r="Q157" s="189"/>
      <c r="R157" s="189"/>
    </row>
    <row r="158" spans="10:18">
      <c r="J158" s="191"/>
      <c r="M158" s="189"/>
      <c r="N158" s="189"/>
      <c r="O158" s="189"/>
      <c r="Q158" s="189"/>
      <c r="R158" s="189"/>
    </row>
    <row r="159" spans="10:18">
      <c r="J159" s="191"/>
      <c r="M159" s="189"/>
      <c r="N159" s="189"/>
      <c r="O159" s="189"/>
      <c r="Q159" s="189"/>
      <c r="R159" s="189"/>
    </row>
    <row r="160" spans="10:18">
      <c r="J160" s="191"/>
      <c r="M160" s="189"/>
      <c r="N160" s="189"/>
      <c r="O160" s="189"/>
      <c r="Q160" s="189"/>
      <c r="R160" s="189"/>
    </row>
    <row r="161" spans="10:18">
      <c r="J161" s="191"/>
      <c r="M161" s="189"/>
      <c r="N161" s="189"/>
      <c r="O161" s="189"/>
      <c r="Q161" s="189"/>
      <c r="R161" s="189"/>
    </row>
    <row r="162" spans="10:18">
      <c r="J162" s="191"/>
      <c r="M162" s="189"/>
      <c r="N162" s="189"/>
      <c r="O162" s="189"/>
      <c r="Q162" s="189"/>
      <c r="R162" s="189"/>
    </row>
    <row r="163" spans="10:18">
      <c r="J163" s="191"/>
      <c r="M163" s="189"/>
      <c r="N163" s="189"/>
      <c r="O163" s="189"/>
      <c r="Q163" s="189"/>
      <c r="R163" s="189"/>
    </row>
    <row r="164" spans="10:18">
      <c r="J164" s="191"/>
      <c r="M164" s="189"/>
      <c r="N164" s="189"/>
      <c r="O164" s="189"/>
      <c r="Q164" s="189"/>
      <c r="R164" s="189"/>
    </row>
    <row r="165" spans="10:18">
      <c r="J165" s="191"/>
      <c r="M165" s="189"/>
      <c r="N165" s="189"/>
      <c r="O165" s="189"/>
      <c r="Q165" s="189"/>
      <c r="R165" s="189"/>
    </row>
    <row r="166" spans="10:18">
      <c r="J166" s="191"/>
      <c r="M166" s="189"/>
      <c r="N166" s="189"/>
      <c r="O166" s="189"/>
      <c r="Q166" s="189"/>
      <c r="R166" s="189"/>
    </row>
    <row r="167" spans="10:18">
      <c r="J167" s="191"/>
      <c r="M167" s="189"/>
      <c r="N167" s="189"/>
      <c r="O167" s="189"/>
      <c r="Q167" s="189"/>
      <c r="R167" s="189"/>
    </row>
    <row r="168" spans="10:18">
      <c r="J168" s="191"/>
      <c r="M168" s="189"/>
      <c r="N168" s="189"/>
      <c r="O168" s="189"/>
      <c r="Q168" s="189"/>
      <c r="R168" s="189"/>
    </row>
    <row r="169" spans="10:18">
      <c r="J169" s="191"/>
      <c r="M169" s="189"/>
      <c r="N169" s="189"/>
      <c r="O169" s="189"/>
      <c r="Q169" s="189"/>
      <c r="R169" s="189"/>
    </row>
    <row r="170" spans="10:18">
      <c r="J170" s="191"/>
      <c r="M170" s="189"/>
      <c r="N170" s="189"/>
      <c r="O170" s="189"/>
      <c r="Q170" s="189"/>
      <c r="R170" s="189"/>
    </row>
    <row r="171" spans="10:18">
      <c r="J171" s="191"/>
      <c r="M171" s="189"/>
      <c r="N171" s="189"/>
      <c r="O171" s="189"/>
      <c r="Q171" s="189"/>
      <c r="R171" s="189"/>
    </row>
    <row r="172" spans="10:18">
      <c r="J172" s="191"/>
      <c r="M172" s="189"/>
      <c r="N172" s="189"/>
      <c r="O172" s="189"/>
      <c r="Q172" s="189"/>
      <c r="R172" s="189"/>
    </row>
    <row r="173" spans="10:18">
      <c r="J173" s="191"/>
      <c r="M173" s="189"/>
      <c r="N173" s="189"/>
      <c r="O173" s="189"/>
      <c r="Q173" s="189"/>
      <c r="R173" s="189"/>
    </row>
    <row r="174" spans="10:18">
      <c r="J174" s="191"/>
      <c r="M174" s="189"/>
      <c r="N174" s="189"/>
      <c r="O174" s="189"/>
      <c r="Q174" s="189"/>
      <c r="R174" s="189"/>
    </row>
    <row r="175" spans="10:18">
      <c r="J175" s="191"/>
      <c r="M175" s="189"/>
      <c r="N175" s="189"/>
      <c r="O175" s="189"/>
      <c r="Q175" s="189"/>
      <c r="R175" s="189"/>
    </row>
    <row r="176" spans="10:18">
      <c r="J176" s="191"/>
      <c r="M176" s="189"/>
      <c r="N176" s="189"/>
      <c r="O176" s="189"/>
      <c r="Q176" s="189"/>
      <c r="R176" s="189"/>
    </row>
    <row r="177" spans="10:18">
      <c r="J177" s="191"/>
      <c r="M177" s="189"/>
      <c r="N177" s="189"/>
      <c r="O177" s="189"/>
      <c r="Q177" s="189"/>
      <c r="R177" s="189"/>
    </row>
    <row r="178" spans="10:18">
      <c r="J178" s="191"/>
      <c r="M178" s="189"/>
      <c r="N178" s="189"/>
      <c r="O178" s="189"/>
      <c r="Q178" s="189"/>
      <c r="R178" s="189"/>
    </row>
    <row r="179" spans="10:18">
      <c r="J179" s="191"/>
      <c r="M179" s="189"/>
      <c r="N179" s="189"/>
      <c r="O179" s="189"/>
      <c r="Q179" s="189"/>
      <c r="R179" s="189"/>
    </row>
    <row r="180" spans="10:18">
      <c r="J180" s="191"/>
      <c r="M180" s="189"/>
      <c r="N180" s="189"/>
      <c r="O180" s="189"/>
      <c r="Q180" s="189"/>
      <c r="R180" s="189"/>
    </row>
    <row r="181" spans="10:18">
      <c r="J181" s="191"/>
      <c r="M181" s="189"/>
      <c r="N181" s="189"/>
      <c r="O181" s="189"/>
      <c r="Q181" s="189"/>
      <c r="R181" s="189"/>
    </row>
    <row r="182" spans="10:18">
      <c r="J182" s="191"/>
      <c r="M182" s="189"/>
      <c r="N182" s="189"/>
      <c r="O182" s="189"/>
      <c r="Q182" s="189"/>
      <c r="R182" s="189"/>
    </row>
    <row r="183" spans="10:18">
      <c r="J183" s="191"/>
      <c r="M183" s="189"/>
      <c r="N183" s="189"/>
      <c r="O183" s="189"/>
      <c r="Q183" s="189"/>
      <c r="R183" s="189"/>
    </row>
    <row r="184" spans="10:18">
      <c r="J184" s="191"/>
      <c r="M184" s="189"/>
      <c r="N184" s="189"/>
      <c r="O184" s="189"/>
      <c r="Q184" s="189"/>
      <c r="R184" s="189"/>
    </row>
    <row r="185" spans="10:18">
      <c r="J185" s="191"/>
      <c r="M185" s="189"/>
      <c r="N185" s="189"/>
      <c r="O185" s="189"/>
      <c r="Q185" s="189"/>
      <c r="R185" s="189"/>
    </row>
    <row r="186" spans="10:18">
      <c r="J186" s="191"/>
      <c r="M186" s="189"/>
      <c r="N186" s="189"/>
      <c r="O186" s="189"/>
      <c r="Q186" s="189"/>
      <c r="R186" s="189"/>
    </row>
    <row r="187" spans="10:18">
      <c r="J187" s="191"/>
      <c r="M187" s="189"/>
      <c r="N187" s="189"/>
      <c r="O187" s="189"/>
      <c r="Q187" s="189"/>
      <c r="R187" s="189"/>
    </row>
    <row r="188" spans="10:18">
      <c r="J188" s="191"/>
      <c r="M188" s="189"/>
      <c r="N188" s="189"/>
      <c r="O188" s="189"/>
      <c r="Q188" s="189"/>
      <c r="R188" s="189"/>
    </row>
    <row r="189" spans="10:18">
      <c r="J189" s="191"/>
      <c r="M189" s="189"/>
      <c r="N189" s="189"/>
      <c r="O189" s="189"/>
      <c r="Q189" s="189"/>
      <c r="R189" s="189"/>
    </row>
    <row r="190" spans="10:18">
      <c r="J190" s="191"/>
      <c r="M190" s="189"/>
      <c r="N190" s="189"/>
      <c r="O190" s="189"/>
      <c r="Q190" s="189"/>
      <c r="R190" s="189"/>
    </row>
    <row r="191" spans="10:18">
      <c r="J191" s="191"/>
      <c r="M191" s="189"/>
      <c r="N191" s="189"/>
      <c r="O191" s="189"/>
      <c r="Q191" s="189"/>
      <c r="R191" s="189"/>
    </row>
    <row r="192" spans="10:18">
      <c r="J192" s="191"/>
      <c r="M192" s="189"/>
      <c r="N192" s="189"/>
      <c r="O192" s="189"/>
      <c r="Q192" s="189"/>
      <c r="R192" s="189"/>
    </row>
    <row r="193" spans="10:18">
      <c r="J193" s="191"/>
      <c r="M193" s="189"/>
      <c r="N193" s="189"/>
      <c r="O193" s="189"/>
      <c r="Q193" s="189"/>
      <c r="R193" s="189"/>
    </row>
    <row r="194" spans="10:18">
      <c r="J194" s="191"/>
      <c r="M194" s="189"/>
      <c r="N194" s="189"/>
      <c r="O194" s="189"/>
      <c r="Q194" s="189"/>
      <c r="R194" s="189"/>
    </row>
    <row r="195" spans="10:18">
      <c r="J195" s="191"/>
      <c r="M195" s="189"/>
      <c r="N195" s="189"/>
      <c r="O195" s="189"/>
      <c r="Q195" s="189"/>
      <c r="R195" s="189"/>
    </row>
    <row r="196" spans="10:18">
      <c r="J196" s="191"/>
      <c r="M196" s="189"/>
      <c r="N196" s="189"/>
      <c r="O196" s="189"/>
      <c r="Q196" s="189"/>
      <c r="R196" s="189"/>
    </row>
    <row r="197" spans="10:18">
      <c r="J197" s="191"/>
      <c r="M197" s="189"/>
      <c r="N197" s="189"/>
      <c r="O197" s="189"/>
      <c r="Q197" s="189"/>
      <c r="R197" s="189"/>
    </row>
    <row r="198" spans="10:18">
      <c r="J198" s="191"/>
      <c r="M198" s="189"/>
      <c r="N198" s="189"/>
      <c r="O198" s="189"/>
      <c r="Q198" s="189"/>
      <c r="R198" s="189"/>
    </row>
    <row r="199" spans="10:18">
      <c r="J199" s="191"/>
      <c r="M199" s="189"/>
      <c r="N199" s="189"/>
      <c r="O199" s="189"/>
      <c r="Q199" s="189"/>
      <c r="R199" s="189"/>
    </row>
    <row r="200" spans="10:18">
      <c r="J200" s="191"/>
      <c r="M200" s="189"/>
      <c r="N200" s="189"/>
      <c r="O200" s="189"/>
      <c r="Q200" s="189"/>
      <c r="R200" s="189"/>
    </row>
    <row r="201" spans="10:18">
      <c r="J201" s="191"/>
      <c r="M201" s="189"/>
      <c r="N201" s="189"/>
      <c r="O201" s="189"/>
      <c r="Q201" s="189"/>
      <c r="R201" s="189"/>
    </row>
    <row r="202" spans="10:18">
      <c r="J202" s="191"/>
      <c r="M202" s="189"/>
      <c r="N202" s="189"/>
      <c r="O202" s="189"/>
      <c r="Q202" s="189"/>
      <c r="R202" s="189"/>
    </row>
    <row r="203" spans="10:18">
      <c r="J203" s="191"/>
      <c r="M203" s="189"/>
      <c r="N203" s="189"/>
      <c r="O203" s="189"/>
      <c r="Q203" s="189"/>
      <c r="R203" s="189"/>
    </row>
    <row r="204" spans="10:18">
      <c r="J204" s="191"/>
      <c r="M204" s="189"/>
      <c r="N204" s="189"/>
      <c r="O204" s="189"/>
      <c r="Q204" s="189"/>
      <c r="R204" s="189"/>
    </row>
    <row r="205" spans="10:18">
      <c r="J205" s="191"/>
      <c r="M205" s="189"/>
      <c r="N205" s="189"/>
      <c r="O205" s="189"/>
      <c r="Q205" s="189"/>
      <c r="R205" s="189"/>
    </row>
    <row r="206" spans="10:18">
      <c r="J206" s="191"/>
      <c r="M206" s="189"/>
      <c r="N206" s="189"/>
      <c r="O206" s="189"/>
      <c r="Q206" s="189"/>
      <c r="R206" s="189"/>
    </row>
    <row r="207" spans="10:18">
      <c r="J207" s="191"/>
      <c r="M207" s="189"/>
      <c r="N207" s="189"/>
      <c r="O207" s="189"/>
      <c r="Q207" s="189"/>
      <c r="R207" s="189"/>
    </row>
    <row r="208" spans="10:18">
      <c r="J208" s="191"/>
      <c r="M208" s="189"/>
      <c r="N208" s="189"/>
      <c r="O208" s="189"/>
      <c r="Q208" s="189"/>
      <c r="R208" s="189"/>
    </row>
    <row r="209" spans="10:18">
      <c r="J209" s="191"/>
      <c r="M209" s="189"/>
      <c r="N209" s="189"/>
      <c r="O209" s="189"/>
      <c r="Q209" s="189"/>
      <c r="R209" s="189"/>
    </row>
    <row r="210" spans="10:18">
      <c r="J210" s="191"/>
      <c r="M210" s="189"/>
      <c r="N210" s="189"/>
      <c r="O210" s="189"/>
      <c r="Q210" s="189"/>
      <c r="R210" s="189"/>
    </row>
    <row r="211" spans="10:18">
      <c r="J211" s="191"/>
      <c r="M211" s="189"/>
      <c r="N211" s="189"/>
      <c r="O211" s="189"/>
      <c r="Q211" s="189"/>
      <c r="R211" s="189"/>
    </row>
    <row r="212" spans="10:18">
      <c r="J212" s="191"/>
      <c r="M212" s="189"/>
      <c r="N212" s="189"/>
      <c r="O212" s="189"/>
      <c r="Q212" s="189"/>
      <c r="R212" s="189"/>
    </row>
    <row r="213" spans="10:18">
      <c r="J213" s="191"/>
      <c r="M213" s="189"/>
      <c r="N213" s="189"/>
      <c r="O213" s="189"/>
      <c r="Q213" s="189"/>
      <c r="R213" s="189"/>
    </row>
    <row r="214" spans="10:18">
      <c r="J214" s="191"/>
      <c r="M214" s="189"/>
      <c r="N214" s="189"/>
      <c r="O214" s="189"/>
      <c r="Q214" s="189"/>
      <c r="R214" s="189"/>
    </row>
    <row r="215" spans="10:18">
      <c r="J215" s="191"/>
      <c r="M215" s="189"/>
      <c r="N215" s="189"/>
      <c r="O215" s="189"/>
      <c r="Q215" s="189"/>
      <c r="R215" s="189"/>
    </row>
    <row r="216" spans="10:18">
      <c r="J216" s="191"/>
      <c r="M216" s="189"/>
      <c r="N216" s="189"/>
      <c r="O216" s="189"/>
      <c r="Q216" s="189"/>
      <c r="R216" s="189"/>
    </row>
    <row r="217" spans="10:18">
      <c r="J217" s="191"/>
      <c r="M217" s="189"/>
      <c r="N217" s="189"/>
      <c r="O217" s="189"/>
      <c r="Q217" s="189"/>
      <c r="R217" s="189"/>
    </row>
    <row r="218" spans="10:18">
      <c r="J218" s="191"/>
      <c r="M218" s="189"/>
      <c r="N218" s="189"/>
      <c r="O218" s="189"/>
      <c r="Q218" s="189"/>
      <c r="R218" s="189"/>
    </row>
    <row r="219" spans="10:18">
      <c r="J219" s="191"/>
      <c r="M219" s="189"/>
      <c r="N219" s="189"/>
      <c r="O219" s="189"/>
      <c r="Q219" s="189"/>
      <c r="R219" s="189"/>
    </row>
    <row r="220" spans="10:18">
      <c r="J220" s="191"/>
      <c r="M220" s="189"/>
      <c r="N220" s="189"/>
      <c r="O220" s="189"/>
      <c r="Q220" s="189"/>
      <c r="R220" s="189"/>
    </row>
    <row r="221" spans="10:18">
      <c r="J221" s="191"/>
      <c r="M221" s="189"/>
      <c r="N221" s="189"/>
      <c r="O221" s="189"/>
      <c r="Q221" s="189"/>
      <c r="R221" s="189"/>
    </row>
    <row r="222" spans="10:18">
      <c r="J222" s="191"/>
      <c r="M222" s="189"/>
      <c r="N222" s="189"/>
      <c r="O222" s="189"/>
      <c r="Q222" s="189"/>
      <c r="R222" s="189"/>
    </row>
    <row r="223" spans="10:18">
      <c r="J223" s="191"/>
      <c r="M223" s="189"/>
      <c r="N223" s="189"/>
      <c r="O223" s="189"/>
      <c r="Q223" s="189"/>
      <c r="R223" s="189"/>
    </row>
    <row r="224" spans="10:18">
      <c r="J224" s="191"/>
      <c r="M224" s="189"/>
      <c r="N224" s="189"/>
      <c r="O224" s="189"/>
      <c r="Q224" s="189"/>
      <c r="R224" s="189"/>
    </row>
    <row r="225" spans="10:18">
      <c r="J225" s="191"/>
      <c r="M225" s="189"/>
      <c r="N225" s="189"/>
      <c r="O225" s="189"/>
      <c r="Q225" s="189"/>
      <c r="R225" s="189"/>
    </row>
    <row r="226" spans="10:18">
      <c r="J226" s="191"/>
      <c r="M226" s="189"/>
      <c r="N226" s="189"/>
      <c r="O226" s="189"/>
      <c r="Q226" s="189"/>
      <c r="R226" s="189"/>
    </row>
    <row r="227" spans="10:18">
      <c r="J227" s="191"/>
      <c r="M227" s="189"/>
      <c r="N227" s="189"/>
      <c r="O227" s="189"/>
      <c r="Q227" s="189"/>
      <c r="R227" s="189"/>
    </row>
    <row r="228" spans="10:18">
      <c r="J228" s="191"/>
      <c r="M228" s="189"/>
      <c r="N228" s="189"/>
      <c r="O228" s="189"/>
      <c r="Q228" s="189"/>
      <c r="R228" s="189"/>
    </row>
    <row r="229" spans="10:18">
      <c r="J229" s="191"/>
      <c r="M229" s="189"/>
      <c r="N229" s="189"/>
      <c r="O229" s="189"/>
      <c r="Q229" s="189"/>
      <c r="R229" s="189"/>
    </row>
    <row r="230" spans="10:18">
      <c r="J230" s="191"/>
      <c r="M230" s="189"/>
      <c r="N230" s="189"/>
      <c r="O230" s="189"/>
      <c r="Q230" s="189"/>
      <c r="R230" s="189"/>
    </row>
    <row r="231" spans="10:18">
      <c r="J231" s="191"/>
      <c r="M231" s="189"/>
      <c r="N231" s="189"/>
      <c r="O231" s="189"/>
      <c r="Q231" s="189"/>
      <c r="R231" s="189"/>
    </row>
    <row r="232" spans="10:18">
      <c r="J232" s="191"/>
      <c r="M232" s="189"/>
      <c r="N232" s="189"/>
      <c r="O232" s="189"/>
      <c r="Q232" s="189"/>
      <c r="R232" s="189"/>
    </row>
    <row r="233" spans="10:18">
      <c r="J233" s="191"/>
      <c r="M233" s="189"/>
      <c r="N233" s="189"/>
      <c r="O233" s="189"/>
      <c r="Q233" s="189"/>
      <c r="R233" s="189"/>
    </row>
    <row r="234" spans="10:18">
      <c r="J234" s="191"/>
      <c r="M234" s="189"/>
      <c r="N234" s="189"/>
      <c r="O234" s="189"/>
      <c r="Q234" s="189"/>
      <c r="R234" s="189"/>
    </row>
    <row r="235" spans="10:18">
      <c r="J235" s="191"/>
      <c r="M235" s="189"/>
      <c r="N235" s="189"/>
      <c r="O235" s="189"/>
      <c r="Q235" s="189"/>
      <c r="R235" s="189"/>
    </row>
    <row r="236" spans="10:18">
      <c r="J236" s="191"/>
      <c r="M236" s="189"/>
      <c r="N236" s="189"/>
      <c r="O236" s="189"/>
      <c r="Q236" s="189"/>
      <c r="R236" s="189"/>
    </row>
    <row r="237" spans="10:18">
      <c r="J237" s="191"/>
      <c r="M237" s="189"/>
      <c r="N237" s="189"/>
      <c r="O237" s="189"/>
      <c r="Q237" s="189"/>
      <c r="R237" s="189"/>
    </row>
    <row r="238" spans="10:18">
      <c r="J238" s="191"/>
      <c r="M238" s="189"/>
      <c r="N238" s="189"/>
      <c r="O238" s="189"/>
      <c r="Q238" s="189"/>
      <c r="R238" s="189"/>
    </row>
    <row r="239" spans="10:18">
      <c r="J239" s="191"/>
      <c r="M239" s="189"/>
      <c r="N239" s="189"/>
      <c r="O239" s="189"/>
      <c r="Q239" s="189"/>
      <c r="R239" s="189"/>
    </row>
    <row r="240" spans="10:18">
      <c r="J240" s="191"/>
      <c r="M240" s="189"/>
      <c r="N240" s="189"/>
      <c r="O240" s="189"/>
      <c r="Q240" s="189"/>
      <c r="R240" s="189"/>
    </row>
    <row r="241" spans="10:18">
      <c r="J241" s="191"/>
      <c r="M241" s="189"/>
      <c r="N241" s="189"/>
      <c r="O241" s="189"/>
      <c r="Q241" s="189"/>
      <c r="R241" s="189"/>
    </row>
    <row r="242" spans="10:18">
      <c r="J242" s="191"/>
      <c r="M242" s="189"/>
      <c r="N242" s="189"/>
      <c r="O242" s="189"/>
      <c r="Q242" s="189"/>
      <c r="R242" s="189"/>
    </row>
    <row r="243" spans="10:18">
      <c r="J243" s="191"/>
      <c r="M243" s="189"/>
      <c r="N243" s="189"/>
      <c r="O243" s="189"/>
      <c r="Q243" s="189"/>
      <c r="R243" s="189"/>
    </row>
    <row r="244" spans="10:18">
      <c r="J244" s="191"/>
      <c r="M244" s="189"/>
      <c r="N244" s="189"/>
      <c r="O244" s="189"/>
      <c r="Q244" s="189"/>
      <c r="R244" s="189"/>
    </row>
    <row r="245" spans="10:18">
      <c r="J245" s="191"/>
      <c r="M245" s="189"/>
      <c r="N245" s="189"/>
      <c r="O245" s="189"/>
      <c r="Q245" s="189"/>
      <c r="R245" s="189"/>
    </row>
    <row r="246" spans="10:18">
      <c r="J246" s="191"/>
      <c r="M246" s="189"/>
      <c r="N246" s="189"/>
      <c r="O246" s="189"/>
      <c r="Q246" s="189"/>
      <c r="R246" s="189"/>
    </row>
    <row r="247" spans="10:18">
      <c r="J247" s="191"/>
      <c r="M247" s="189"/>
      <c r="N247" s="189"/>
      <c r="O247" s="189"/>
      <c r="Q247" s="189"/>
      <c r="R247" s="189"/>
    </row>
    <row r="248" spans="10:18">
      <c r="J248" s="191"/>
      <c r="M248" s="189"/>
      <c r="N248" s="189"/>
      <c r="O248" s="189"/>
      <c r="Q248" s="189"/>
      <c r="R248" s="189"/>
    </row>
    <row r="249" spans="10:18">
      <c r="J249" s="191"/>
      <c r="M249" s="189"/>
      <c r="N249" s="189"/>
      <c r="O249" s="189"/>
      <c r="Q249" s="189"/>
      <c r="R249" s="189"/>
    </row>
    <row r="250" spans="10:18">
      <c r="J250" s="191"/>
      <c r="M250" s="189"/>
      <c r="N250" s="189"/>
      <c r="O250" s="189"/>
      <c r="Q250" s="189"/>
      <c r="R250" s="189"/>
    </row>
    <row r="251" spans="10:18">
      <c r="J251" s="191"/>
      <c r="M251" s="189"/>
      <c r="N251" s="189"/>
      <c r="O251" s="189"/>
      <c r="Q251" s="189"/>
      <c r="R251" s="189"/>
    </row>
    <row r="252" spans="10:18">
      <c r="J252" s="191"/>
      <c r="M252" s="189"/>
      <c r="N252" s="189"/>
      <c r="O252" s="189"/>
      <c r="Q252" s="189"/>
      <c r="R252" s="189"/>
    </row>
    <row r="253" spans="10:18">
      <c r="J253" s="191"/>
      <c r="M253" s="189"/>
      <c r="N253" s="189"/>
      <c r="O253" s="189"/>
      <c r="Q253" s="189"/>
      <c r="R253" s="189"/>
    </row>
  </sheetData>
  <sheetProtection sheet="1" objects="1" scenarios="1"/>
  <dataConsolidate/>
  <mergeCells count="20">
    <mergeCell ref="B58:H58"/>
    <mergeCell ref="B56:H56"/>
    <mergeCell ref="B55:H55"/>
    <mergeCell ref="B53:H53"/>
    <mergeCell ref="B45:H45"/>
    <mergeCell ref="B57:H57"/>
    <mergeCell ref="C13:E13"/>
    <mergeCell ref="A1:D2"/>
    <mergeCell ref="E1:F1"/>
    <mergeCell ref="E3:F3"/>
    <mergeCell ref="M1:N1"/>
    <mergeCell ref="G1:H1"/>
    <mergeCell ref="F10:H10"/>
    <mergeCell ref="F11:H11"/>
    <mergeCell ref="F5:H5"/>
    <mergeCell ref="F6:H6"/>
    <mergeCell ref="F7:H7"/>
    <mergeCell ref="F8:H8"/>
    <mergeCell ref="F9:H9"/>
    <mergeCell ref="F13:G13"/>
  </mergeCells>
  <conditionalFormatting sqref="E16:F42">
    <cfRule type="expression" dxfId="27" priority="18">
      <formula>"0"</formula>
    </cfRule>
  </conditionalFormatting>
  <conditionalFormatting sqref="C13:E13">
    <cfRule type="expression" dxfId="26" priority="16">
      <formula>$J$5=""</formula>
    </cfRule>
  </conditionalFormatting>
  <conditionalFormatting sqref="A1:D2">
    <cfRule type="expression" dxfId="25" priority="15">
      <formula>$J$3=""</formula>
    </cfRule>
  </conditionalFormatting>
  <conditionalFormatting sqref="F5:H11">
    <cfRule type="expression" dxfId="24" priority="14">
      <formula>$J$4=""</formula>
    </cfRule>
  </conditionalFormatting>
  <conditionalFormatting sqref="C51">
    <cfRule type="expression" dxfId="23" priority="13">
      <formula>$J$6=""</formula>
    </cfRule>
  </conditionalFormatting>
  <conditionalFormatting sqref="C47">
    <cfRule type="expression" dxfId="22" priority="26">
      <formula>$J$45&lt;&gt;$C$47</formula>
    </cfRule>
  </conditionalFormatting>
  <conditionalFormatting sqref="H13">
    <cfRule type="expression" dxfId="21" priority="32">
      <formula>$J$7=""</formula>
    </cfRule>
  </conditionalFormatting>
  <conditionalFormatting sqref="J3:J7">
    <cfRule type="expression" dxfId="20" priority="5">
      <formula>AND(J3="")</formula>
    </cfRule>
  </conditionalFormatting>
  <conditionalFormatting sqref="G16:G42">
    <cfRule type="expression" dxfId="19" priority="4">
      <formula>AND(B16&lt;&gt;"",G16="")</formula>
    </cfRule>
  </conditionalFormatting>
  <conditionalFormatting sqref="G3">
    <cfRule type="expression" dxfId="18" priority="1">
      <formula>$G$3=""</formula>
    </cfRule>
  </conditionalFormatting>
  <dataValidations count="4">
    <dataValidation type="list" allowBlank="1" showInputMessage="1" showErrorMessage="1" sqref="J4" xr:uid="{00000000-0002-0000-0900-000000000000}">
      <formula1>Clients</formula1>
    </dataValidation>
    <dataValidation type="list" allowBlank="1" showInputMessage="1" showErrorMessage="1" sqref="J5" xr:uid="{00000000-0002-0000-0900-000001000000}">
      <formula1>$M$8:$M$14</formula1>
    </dataValidation>
    <dataValidation type="list" allowBlank="1" showInputMessage="1" showErrorMessage="1" sqref="J3" xr:uid="{00000000-0002-0000-0900-000002000000}">
      <formula1>$M$2:$M$5</formula1>
    </dataValidation>
    <dataValidation type="list" allowBlank="1" showInputMessage="1" showErrorMessage="1" sqref="J6" xr:uid="{00000000-0002-0000-0900-000003000000}">
      <formula1>Incoterms</formula1>
    </dataValidation>
  </dataValidations>
  <printOptions horizontalCentered="1"/>
  <pageMargins left="0.27559055118110237" right="0.27559055118110237" top="0.19685039370078741" bottom="0.11811023622047245" header="0.31496062992125984" footer="0.31496062992125984"/>
  <pageSetup paperSize="9" orientation="portrait" r:id="rId1"/>
  <headerFooter>
    <oddFooter>&amp;R&amp;P of &amp;N</oddFooter>
  </headerFooter>
  <colBreaks count="1" manualBreakCount="1">
    <brk id="8" max="57" man="1"/>
  </colBreaks>
  <drawing r:id="rId2"/>
  <legacyDrawing r:id="rId3"/>
  <mc:AlternateContent xmlns:mc="http://schemas.openxmlformats.org/markup-compatibility/2006">
    <mc:Choice Requires="x14">
      <controls>
        <mc:AlternateContent xmlns:mc="http://schemas.openxmlformats.org/markup-compatibility/2006">
          <mc:Choice Requires="x14">
            <control shapeId="1043" r:id="rId4" name="Button 19">
              <controlPr locked="0" defaultSize="0" print="0" autoFill="0" autoPict="0" macro="[0]!AperçuFeuilleFacture">
                <anchor moveWithCells="1" sizeWithCells="1">
                  <from>
                    <xdr:col>4</xdr:col>
                    <xdr:colOff>323850</xdr:colOff>
                    <xdr:row>46</xdr:row>
                    <xdr:rowOff>161925</xdr:rowOff>
                  </from>
                  <to>
                    <xdr:col>7</xdr:col>
                    <xdr:colOff>609600</xdr:colOff>
                    <xdr:row>51</xdr:row>
                    <xdr:rowOff>19050</xdr:rowOff>
                  </to>
                </anchor>
              </controlPr>
            </control>
          </mc:Choice>
        </mc:AlternateContent>
        <mc:AlternateContent xmlns:mc="http://schemas.openxmlformats.org/markup-compatibility/2006">
          <mc:Choice Requires="x14">
            <control shapeId="1068" r:id="rId5" name="Button 44">
              <controlPr locked="0" defaultSize="0" print="0" autoFill="0" autoPict="0" macro="[0]!EnregistreFacture">
                <anchor moveWithCells="1" sizeWithCells="1">
                  <from>
                    <xdr:col>8</xdr:col>
                    <xdr:colOff>161925</xdr:colOff>
                    <xdr:row>45</xdr:row>
                    <xdr:rowOff>9525</xdr:rowOff>
                  </from>
                  <to>
                    <xdr:col>10</xdr:col>
                    <xdr:colOff>561975</xdr:colOff>
                    <xdr:row>51</xdr:row>
                    <xdr:rowOff>47625</xdr:rowOff>
                  </to>
                </anchor>
              </controlPr>
            </control>
          </mc:Choice>
        </mc:AlternateContent>
        <mc:AlternateContent xmlns:mc="http://schemas.openxmlformats.org/markup-compatibility/2006">
          <mc:Choice Requires="x14">
            <control shapeId="1141" r:id="rId6" name="Button 117">
              <controlPr defaultSize="0" print="0" autoFill="0" autoPict="0" macro="[0]!Coller_Facture_Réinitialiser">
                <anchor moveWithCells="1" sizeWithCells="1">
                  <from>
                    <xdr:col>10</xdr:col>
                    <xdr:colOff>1038225</xdr:colOff>
                    <xdr:row>44</xdr:row>
                    <xdr:rowOff>200025</xdr:rowOff>
                  </from>
                  <to>
                    <xdr:col>12</xdr:col>
                    <xdr:colOff>542925</xdr:colOff>
                    <xdr:row>51</xdr:row>
                    <xdr:rowOff>47625</xdr:rowOff>
                  </to>
                </anchor>
              </controlPr>
            </control>
          </mc:Choice>
        </mc:AlternateContent>
        <mc:AlternateContent xmlns:mc="http://schemas.openxmlformats.org/markup-compatibility/2006">
          <mc:Choice Requires="x14">
            <control shapeId="1143" r:id="rId7" name="Button 119">
              <controlPr locked="0" defaultSize="0" print="0" autoFill="0" autoPict="0" macro="[0]!Création_Doc_Number">
                <anchor moveWithCells="1" sizeWithCells="1">
                  <from>
                    <xdr:col>9</xdr:col>
                    <xdr:colOff>38100</xdr:colOff>
                    <xdr:row>7</xdr:row>
                    <xdr:rowOff>142875</xdr:rowOff>
                  </from>
                  <to>
                    <xdr:col>10</xdr:col>
                    <xdr:colOff>47625</xdr:colOff>
                    <xdr:row>10</xdr:row>
                    <xdr:rowOff>66675</xdr:rowOff>
                  </to>
                </anchor>
              </controlPr>
            </control>
          </mc:Choice>
        </mc:AlternateContent>
        <mc:AlternateContent xmlns:mc="http://schemas.openxmlformats.org/markup-compatibility/2006">
          <mc:Choice Requires="x14">
            <control shapeId="1146" r:id="rId8" name="Button 122">
              <controlPr defaultSize="0" print="0" autoFill="0" autoPict="0" macro="[0]!Enregistre_Packing_List">
                <anchor moveWithCells="1" sizeWithCells="1">
                  <from>
                    <xdr:col>9</xdr:col>
                    <xdr:colOff>0</xdr:colOff>
                    <xdr:row>52</xdr:row>
                    <xdr:rowOff>142875</xdr:rowOff>
                  </from>
                  <to>
                    <xdr:col>10</xdr:col>
                    <xdr:colOff>542925</xdr:colOff>
                    <xdr:row>58</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8">
    <tabColor rgb="FF00B0F0"/>
  </sheetPr>
  <dimension ref="A1:AD186"/>
  <sheetViews>
    <sheetView showGridLines="0" zoomScaleNormal="100" workbookViewId="0">
      <selection activeCell="L16" sqref="L16"/>
    </sheetView>
  </sheetViews>
  <sheetFormatPr baseColWidth="10" defaultRowHeight="14.25"/>
  <cols>
    <col min="1" max="1" width="4.42578125" style="299" customWidth="1"/>
    <col min="2" max="2" width="38.85546875" style="300" customWidth="1"/>
    <col min="3" max="3" width="8.140625" style="300" customWidth="1"/>
    <col min="4" max="4" width="5.140625" style="301" customWidth="1"/>
    <col min="5" max="5" width="10.140625" style="333" customWidth="1"/>
    <col min="6" max="6" width="10.140625" style="296" customWidth="1"/>
    <col min="7" max="7" width="1.7109375" style="296" customWidth="1"/>
    <col min="8" max="8" width="8.28515625" style="300" customWidth="1"/>
    <col min="9" max="9" width="13.28515625" style="300" customWidth="1"/>
    <col min="10" max="10" width="9.7109375" style="520" customWidth="1"/>
    <col min="11" max="11" width="6.28515625" style="296" bestFit="1" customWidth="1"/>
    <col min="12" max="12" width="20.7109375" style="303" customWidth="1"/>
    <col min="13" max="13" width="5.5703125" style="296" bestFit="1" customWidth="1"/>
    <col min="14" max="14" width="7" style="296" bestFit="1" customWidth="1"/>
    <col min="15" max="15" width="8.28515625" style="297" customWidth="1"/>
    <col min="16" max="16" width="18.140625" style="299" customWidth="1"/>
    <col min="17" max="17" width="7.42578125" style="299" customWidth="1"/>
    <col min="18" max="18" width="18.85546875" style="299" bestFit="1" customWidth="1"/>
    <col min="19" max="19" width="8" style="296" bestFit="1" customWidth="1"/>
    <col min="20" max="20" width="6.28515625" style="296" bestFit="1" customWidth="1"/>
    <col min="21" max="21" width="14.42578125" style="296" bestFit="1" customWidth="1"/>
    <col min="22" max="22" width="7" style="296" bestFit="1" customWidth="1"/>
    <col min="23" max="23" width="20.5703125" style="296" customWidth="1"/>
    <col min="24" max="24" width="5.5703125" style="296" bestFit="1" customWidth="1"/>
    <col min="25" max="25" width="11.28515625" style="296" customWidth="1"/>
    <col min="26" max="26" width="26.7109375" style="300" bestFit="1" customWidth="1"/>
    <col min="27" max="27" width="11.28515625" style="296" customWidth="1"/>
    <col min="28" max="30" width="26.7109375" style="300" bestFit="1" customWidth="1"/>
    <col min="31" max="31" width="24.85546875" style="300" bestFit="1" customWidth="1"/>
    <col min="32" max="32" width="31" style="300" bestFit="1" customWidth="1"/>
    <col min="33" max="261" width="11.5703125" style="300"/>
    <col min="262" max="262" width="3.42578125" style="300" bestFit="1" customWidth="1"/>
    <col min="263" max="263" width="28" style="300" customWidth="1"/>
    <col min="264" max="264" width="11.28515625" style="300" customWidth="1"/>
    <col min="265" max="265" width="7.42578125" style="300" customWidth="1"/>
    <col min="266" max="266" width="13.7109375" style="300" customWidth="1"/>
    <col min="267" max="267" width="8.140625" style="300" customWidth="1"/>
    <col min="268" max="268" width="1.85546875" style="300" customWidth="1"/>
    <col min="269" max="269" width="8.140625" style="300" customWidth="1"/>
    <col min="270" max="270" width="13.42578125" style="300" bestFit="1" customWidth="1"/>
    <col min="271" max="271" width="4.5703125" style="300" bestFit="1" customWidth="1"/>
    <col min="272" max="272" width="26.7109375" style="300" customWidth="1"/>
    <col min="273" max="273" width="14.7109375" style="300" bestFit="1" customWidth="1"/>
    <col min="274" max="274" width="7" style="300" bestFit="1" customWidth="1"/>
    <col min="275" max="275" width="10.7109375" style="300" bestFit="1" customWidth="1"/>
    <col min="276" max="276" width="6.28515625" style="300" bestFit="1" customWidth="1"/>
    <col min="277" max="277" width="14.42578125" style="300" bestFit="1" customWidth="1"/>
    <col min="278" max="278" width="7" style="300" bestFit="1" customWidth="1"/>
    <col min="279" max="279" width="20.5703125" style="300" customWidth="1"/>
    <col min="280" max="280" width="5.5703125" style="300" bestFit="1" customWidth="1"/>
    <col min="281" max="281" width="11.28515625" style="300" customWidth="1"/>
    <col min="282" max="286" width="26.7109375" style="300" bestFit="1" customWidth="1"/>
    <col min="287" max="287" width="24.85546875" style="300" bestFit="1" customWidth="1"/>
    <col min="288" max="288" width="31" style="300" bestFit="1" customWidth="1"/>
    <col min="289" max="517" width="11.5703125" style="300"/>
    <col min="518" max="518" width="3.42578125" style="300" bestFit="1" customWidth="1"/>
    <col min="519" max="519" width="28" style="300" customWidth="1"/>
    <col min="520" max="520" width="11.28515625" style="300" customWidth="1"/>
    <col min="521" max="521" width="7.42578125" style="300" customWidth="1"/>
    <col min="522" max="522" width="13.7109375" style="300" customWidth="1"/>
    <col min="523" max="523" width="8.140625" style="300" customWidth="1"/>
    <col min="524" max="524" width="1.85546875" style="300" customWidth="1"/>
    <col min="525" max="525" width="8.140625" style="300" customWidth="1"/>
    <col min="526" max="526" width="13.42578125" style="300" bestFit="1" customWidth="1"/>
    <col min="527" max="527" width="4.5703125" style="300" bestFit="1" customWidth="1"/>
    <col min="528" max="528" width="26.7109375" style="300" customWidth="1"/>
    <col min="529" max="529" width="14.7109375" style="300" bestFit="1" customWidth="1"/>
    <col min="530" max="530" width="7" style="300" bestFit="1" customWidth="1"/>
    <col min="531" max="531" width="10.7109375" style="300" bestFit="1" customWidth="1"/>
    <col min="532" max="532" width="6.28515625" style="300" bestFit="1" customWidth="1"/>
    <col min="533" max="533" width="14.42578125" style="300" bestFit="1" customWidth="1"/>
    <col min="534" max="534" width="7" style="300" bestFit="1" customWidth="1"/>
    <col min="535" max="535" width="20.5703125" style="300" customWidth="1"/>
    <col min="536" max="536" width="5.5703125" style="300" bestFit="1" customWidth="1"/>
    <col min="537" max="537" width="11.28515625" style="300" customWidth="1"/>
    <col min="538" max="542" width="26.7109375" style="300" bestFit="1" customWidth="1"/>
    <col min="543" max="543" width="24.85546875" style="300" bestFit="1" customWidth="1"/>
    <col min="544" max="544" width="31" style="300" bestFit="1" customWidth="1"/>
    <col min="545" max="773" width="11.5703125" style="300"/>
    <col min="774" max="774" width="3.42578125" style="300" bestFit="1" customWidth="1"/>
    <col min="775" max="775" width="28" style="300" customWidth="1"/>
    <col min="776" max="776" width="11.28515625" style="300" customWidth="1"/>
    <col min="777" max="777" width="7.42578125" style="300" customWidth="1"/>
    <col min="778" max="778" width="13.7109375" style="300" customWidth="1"/>
    <col min="779" max="779" width="8.140625" style="300" customWidth="1"/>
    <col min="780" max="780" width="1.85546875" style="300" customWidth="1"/>
    <col min="781" max="781" width="8.140625" style="300" customWidth="1"/>
    <col min="782" max="782" width="13.42578125" style="300" bestFit="1" customWidth="1"/>
    <col min="783" max="783" width="4.5703125" style="300" bestFit="1" customWidth="1"/>
    <col min="784" max="784" width="26.7109375" style="300" customWidth="1"/>
    <col min="785" max="785" width="14.7109375" style="300" bestFit="1" customWidth="1"/>
    <col min="786" max="786" width="7" style="300" bestFit="1" customWidth="1"/>
    <col min="787" max="787" width="10.7109375" style="300" bestFit="1" customWidth="1"/>
    <col min="788" max="788" width="6.28515625" style="300" bestFit="1" customWidth="1"/>
    <col min="789" max="789" width="14.42578125" style="300" bestFit="1" customWidth="1"/>
    <col min="790" max="790" width="7" style="300" bestFit="1" customWidth="1"/>
    <col min="791" max="791" width="20.5703125" style="300" customWidth="1"/>
    <col min="792" max="792" width="5.5703125" style="300" bestFit="1" customWidth="1"/>
    <col min="793" max="793" width="11.28515625" style="300" customWidth="1"/>
    <col min="794" max="798" width="26.7109375" style="300" bestFit="1" customWidth="1"/>
    <col min="799" max="799" width="24.85546875" style="300" bestFit="1" customWidth="1"/>
    <col min="800" max="800" width="31" style="300" bestFit="1" customWidth="1"/>
    <col min="801" max="1029" width="11.5703125" style="300"/>
    <col min="1030" max="1030" width="3.42578125" style="300" bestFit="1" customWidth="1"/>
    <col min="1031" max="1031" width="28" style="300" customWidth="1"/>
    <col min="1032" max="1032" width="11.28515625" style="300" customWidth="1"/>
    <col min="1033" max="1033" width="7.42578125" style="300" customWidth="1"/>
    <col min="1034" max="1034" width="13.7109375" style="300" customWidth="1"/>
    <col min="1035" max="1035" width="8.140625" style="300" customWidth="1"/>
    <col min="1036" max="1036" width="1.85546875" style="300" customWidth="1"/>
    <col min="1037" max="1037" width="8.140625" style="300" customWidth="1"/>
    <col min="1038" max="1038" width="13.42578125" style="300" bestFit="1" customWidth="1"/>
    <col min="1039" max="1039" width="4.5703125" style="300" bestFit="1" customWidth="1"/>
    <col min="1040" max="1040" width="26.7109375" style="300" customWidth="1"/>
    <col min="1041" max="1041" width="14.7109375" style="300" bestFit="1" customWidth="1"/>
    <col min="1042" max="1042" width="7" style="300" bestFit="1" customWidth="1"/>
    <col min="1043" max="1043" width="10.7109375" style="300" bestFit="1" customWidth="1"/>
    <col min="1044" max="1044" width="6.28515625" style="300" bestFit="1" customWidth="1"/>
    <col min="1045" max="1045" width="14.42578125" style="300" bestFit="1" customWidth="1"/>
    <col min="1046" max="1046" width="7" style="300" bestFit="1" customWidth="1"/>
    <col min="1047" max="1047" width="20.5703125" style="300" customWidth="1"/>
    <col min="1048" max="1048" width="5.5703125" style="300" bestFit="1" customWidth="1"/>
    <col min="1049" max="1049" width="11.28515625" style="300" customWidth="1"/>
    <col min="1050" max="1054" width="26.7109375" style="300" bestFit="1" customWidth="1"/>
    <col min="1055" max="1055" width="24.85546875" style="300" bestFit="1" customWidth="1"/>
    <col min="1056" max="1056" width="31" style="300" bestFit="1" customWidth="1"/>
    <col min="1057" max="1285" width="11.5703125" style="300"/>
    <col min="1286" max="1286" width="3.42578125" style="300" bestFit="1" customWidth="1"/>
    <col min="1287" max="1287" width="28" style="300" customWidth="1"/>
    <col min="1288" max="1288" width="11.28515625" style="300" customWidth="1"/>
    <col min="1289" max="1289" width="7.42578125" style="300" customWidth="1"/>
    <col min="1290" max="1290" width="13.7109375" style="300" customWidth="1"/>
    <col min="1291" max="1291" width="8.140625" style="300" customWidth="1"/>
    <col min="1292" max="1292" width="1.85546875" style="300" customWidth="1"/>
    <col min="1293" max="1293" width="8.140625" style="300" customWidth="1"/>
    <col min="1294" max="1294" width="13.42578125" style="300" bestFit="1" customWidth="1"/>
    <col min="1295" max="1295" width="4.5703125" style="300" bestFit="1" customWidth="1"/>
    <col min="1296" max="1296" width="26.7109375" style="300" customWidth="1"/>
    <col min="1297" max="1297" width="14.7109375" style="300" bestFit="1" customWidth="1"/>
    <col min="1298" max="1298" width="7" style="300" bestFit="1" customWidth="1"/>
    <col min="1299" max="1299" width="10.7109375" style="300" bestFit="1" customWidth="1"/>
    <col min="1300" max="1300" width="6.28515625" style="300" bestFit="1" customWidth="1"/>
    <col min="1301" max="1301" width="14.42578125" style="300" bestFit="1" customWidth="1"/>
    <col min="1302" max="1302" width="7" style="300" bestFit="1" customWidth="1"/>
    <col min="1303" max="1303" width="20.5703125" style="300" customWidth="1"/>
    <col min="1304" max="1304" width="5.5703125" style="300" bestFit="1" customWidth="1"/>
    <col min="1305" max="1305" width="11.28515625" style="300" customWidth="1"/>
    <col min="1306" max="1310" width="26.7109375" style="300" bestFit="1" customWidth="1"/>
    <col min="1311" max="1311" width="24.85546875" style="300" bestFit="1" customWidth="1"/>
    <col min="1312" max="1312" width="31" style="300" bestFit="1" customWidth="1"/>
    <col min="1313" max="1541" width="11.5703125" style="300"/>
    <col min="1542" max="1542" width="3.42578125" style="300" bestFit="1" customWidth="1"/>
    <col min="1543" max="1543" width="28" style="300" customWidth="1"/>
    <col min="1544" max="1544" width="11.28515625" style="300" customWidth="1"/>
    <col min="1545" max="1545" width="7.42578125" style="300" customWidth="1"/>
    <col min="1546" max="1546" width="13.7109375" style="300" customWidth="1"/>
    <col min="1547" max="1547" width="8.140625" style="300" customWidth="1"/>
    <col min="1548" max="1548" width="1.85546875" style="300" customWidth="1"/>
    <col min="1549" max="1549" width="8.140625" style="300" customWidth="1"/>
    <col min="1550" max="1550" width="13.42578125" style="300" bestFit="1" customWidth="1"/>
    <col min="1551" max="1551" width="4.5703125" style="300" bestFit="1" customWidth="1"/>
    <col min="1552" max="1552" width="26.7109375" style="300" customWidth="1"/>
    <col min="1553" max="1553" width="14.7109375" style="300" bestFit="1" customWidth="1"/>
    <col min="1554" max="1554" width="7" style="300" bestFit="1" customWidth="1"/>
    <col min="1555" max="1555" width="10.7109375" style="300" bestFit="1" customWidth="1"/>
    <col min="1556" max="1556" width="6.28515625" style="300" bestFit="1" customWidth="1"/>
    <col min="1557" max="1557" width="14.42578125" style="300" bestFit="1" customWidth="1"/>
    <col min="1558" max="1558" width="7" style="300" bestFit="1" customWidth="1"/>
    <col min="1559" max="1559" width="20.5703125" style="300" customWidth="1"/>
    <col min="1560" max="1560" width="5.5703125" style="300" bestFit="1" customWidth="1"/>
    <col min="1561" max="1561" width="11.28515625" style="300" customWidth="1"/>
    <col min="1562" max="1566" width="26.7109375" style="300" bestFit="1" customWidth="1"/>
    <col min="1567" max="1567" width="24.85546875" style="300" bestFit="1" customWidth="1"/>
    <col min="1568" max="1568" width="31" style="300" bestFit="1" customWidth="1"/>
    <col min="1569" max="1797" width="11.5703125" style="300"/>
    <col min="1798" max="1798" width="3.42578125" style="300" bestFit="1" customWidth="1"/>
    <col min="1799" max="1799" width="28" style="300" customWidth="1"/>
    <col min="1800" max="1800" width="11.28515625" style="300" customWidth="1"/>
    <col min="1801" max="1801" width="7.42578125" style="300" customWidth="1"/>
    <col min="1802" max="1802" width="13.7109375" style="300" customWidth="1"/>
    <col min="1803" max="1803" width="8.140625" style="300" customWidth="1"/>
    <col min="1804" max="1804" width="1.85546875" style="300" customWidth="1"/>
    <col min="1805" max="1805" width="8.140625" style="300" customWidth="1"/>
    <col min="1806" max="1806" width="13.42578125" style="300" bestFit="1" customWidth="1"/>
    <col min="1807" max="1807" width="4.5703125" style="300" bestFit="1" customWidth="1"/>
    <col min="1808" max="1808" width="26.7109375" style="300" customWidth="1"/>
    <col min="1809" max="1809" width="14.7109375" style="300" bestFit="1" customWidth="1"/>
    <col min="1810" max="1810" width="7" style="300" bestFit="1" customWidth="1"/>
    <col min="1811" max="1811" width="10.7109375" style="300" bestFit="1" customWidth="1"/>
    <col min="1812" max="1812" width="6.28515625" style="300" bestFit="1" customWidth="1"/>
    <col min="1813" max="1813" width="14.42578125" style="300" bestFit="1" customWidth="1"/>
    <col min="1814" max="1814" width="7" style="300" bestFit="1" customWidth="1"/>
    <col min="1815" max="1815" width="20.5703125" style="300" customWidth="1"/>
    <col min="1816" max="1816" width="5.5703125" style="300" bestFit="1" customWidth="1"/>
    <col min="1817" max="1817" width="11.28515625" style="300" customWidth="1"/>
    <col min="1818" max="1822" width="26.7109375" style="300" bestFit="1" customWidth="1"/>
    <col min="1823" max="1823" width="24.85546875" style="300" bestFit="1" customWidth="1"/>
    <col min="1824" max="1824" width="31" style="300" bestFit="1" customWidth="1"/>
    <col min="1825" max="2053" width="11.5703125" style="300"/>
    <col min="2054" max="2054" width="3.42578125" style="300" bestFit="1" customWidth="1"/>
    <col min="2055" max="2055" width="28" style="300" customWidth="1"/>
    <col min="2056" max="2056" width="11.28515625" style="300" customWidth="1"/>
    <col min="2057" max="2057" width="7.42578125" style="300" customWidth="1"/>
    <col min="2058" max="2058" width="13.7109375" style="300" customWidth="1"/>
    <col min="2059" max="2059" width="8.140625" style="300" customWidth="1"/>
    <col min="2060" max="2060" width="1.85546875" style="300" customWidth="1"/>
    <col min="2061" max="2061" width="8.140625" style="300" customWidth="1"/>
    <col min="2062" max="2062" width="13.42578125" style="300" bestFit="1" customWidth="1"/>
    <col min="2063" max="2063" width="4.5703125" style="300" bestFit="1" customWidth="1"/>
    <col min="2064" max="2064" width="26.7109375" style="300" customWidth="1"/>
    <col min="2065" max="2065" width="14.7109375" style="300" bestFit="1" customWidth="1"/>
    <col min="2066" max="2066" width="7" style="300" bestFit="1" customWidth="1"/>
    <col min="2067" max="2067" width="10.7109375" style="300" bestFit="1" customWidth="1"/>
    <col min="2068" max="2068" width="6.28515625" style="300" bestFit="1" customWidth="1"/>
    <col min="2069" max="2069" width="14.42578125" style="300" bestFit="1" customWidth="1"/>
    <col min="2070" max="2070" width="7" style="300" bestFit="1" customWidth="1"/>
    <col min="2071" max="2071" width="20.5703125" style="300" customWidth="1"/>
    <col min="2072" max="2072" width="5.5703125" style="300" bestFit="1" customWidth="1"/>
    <col min="2073" max="2073" width="11.28515625" style="300" customWidth="1"/>
    <col min="2074" max="2078" width="26.7109375" style="300" bestFit="1" customWidth="1"/>
    <col min="2079" max="2079" width="24.85546875" style="300" bestFit="1" customWidth="1"/>
    <col min="2080" max="2080" width="31" style="300" bestFit="1" customWidth="1"/>
    <col min="2081" max="2309" width="11.5703125" style="300"/>
    <col min="2310" max="2310" width="3.42578125" style="300" bestFit="1" customWidth="1"/>
    <col min="2311" max="2311" width="28" style="300" customWidth="1"/>
    <col min="2312" max="2312" width="11.28515625" style="300" customWidth="1"/>
    <col min="2313" max="2313" width="7.42578125" style="300" customWidth="1"/>
    <col min="2314" max="2314" width="13.7109375" style="300" customWidth="1"/>
    <col min="2315" max="2315" width="8.140625" style="300" customWidth="1"/>
    <col min="2316" max="2316" width="1.85546875" style="300" customWidth="1"/>
    <col min="2317" max="2317" width="8.140625" style="300" customWidth="1"/>
    <col min="2318" max="2318" width="13.42578125" style="300" bestFit="1" customWidth="1"/>
    <col min="2319" max="2319" width="4.5703125" style="300" bestFit="1" customWidth="1"/>
    <col min="2320" max="2320" width="26.7109375" style="300" customWidth="1"/>
    <col min="2321" max="2321" width="14.7109375" style="300" bestFit="1" customWidth="1"/>
    <col min="2322" max="2322" width="7" style="300" bestFit="1" customWidth="1"/>
    <col min="2323" max="2323" width="10.7109375" style="300" bestFit="1" customWidth="1"/>
    <col min="2324" max="2324" width="6.28515625" style="300" bestFit="1" customWidth="1"/>
    <col min="2325" max="2325" width="14.42578125" style="300" bestFit="1" customWidth="1"/>
    <col min="2326" max="2326" width="7" style="300" bestFit="1" customWidth="1"/>
    <col min="2327" max="2327" width="20.5703125" style="300" customWidth="1"/>
    <col min="2328" max="2328" width="5.5703125" style="300" bestFit="1" customWidth="1"/>
    <col min="2329" max="2329" width="11.28515625" style="300" customWidth="1"/>
    <col min="2330" max="2334" width="26.7109375" style="300" bestFit="1" customWidth="1"/>
    <col min="2335" max="2335" width="24.85546875" style="300" bestFit="1" customWidth="1"/>
    <col min="2336" max="2336" width="31" style="300" bestFit="1" customWidth="1"/>
    <col min="2337" max="2565" width="11.5703125" style="300"/>
    <col min="2566" max="2566" width="3.42578125" style="300" bestFit="1" customWidth="1"/>
    <col min="2567" max="2567" width="28" style="300" customWidth="1"/>
    <col min="2568" max="2568" width="11.28515625" style="300" customWidth="1"/>
    <col min="2569" max="2569" width="7.42578125" style="300" customWidth="1"/>
    <col min="2570" max="2570" width="13.7109375" style="300" customWidth="1"/>
    <col min="2571" max="2571" width="8.140625" style="300" customWidth="1"/>
    <col min="2572" max="2572" width="1.85546875" style="300" customWidth="1"/>
    <col min="2573" max="2573" width="8.140625" style="300" customWidth="1"/>
    <col min="2574" max="2574" width="13.42578125" style="300" bestFit="1" customWidth="1"/>
    <col min="2575" max="2575" width="4.5703125" style="300" bestFit="1" customWidth="1"/>
    <col min="2576" max="2576" width="26.7109375" style="300" customWidth="1"/>
    <col min="2577" max="2577" width="14.7109375" style="300" bestFit="1" customWidth="1"/>
    <col min="2578" max="2578" width="7" style="300" bestFit="1" customWidth="1"/>
    <col min="2579" max="2579" width="10.7109375" style="300" bestFit="1" customWidth="1"/>
    <col min="2580" max="2580" width="6.28515625" style="300" bestFit="1" customWidth="1"/>
    <col min="2581" max="2581" width="14.42578125" style="300" bestFit="1" customWidth="1"/>
    <col min="2582" max="2582" width="7" style="300" bestFit="1" customWidth="1"/>
    <col min="2583" max="2583" width="20.5703125" style="300" customWidth="1"/>
    <col min="2584" max="2584" width="5.5703125" style="300" bestFit="1" customWidth="1"/>
    <col min="2585" max="2585" width="11.28515625" style="300" customWidth="1"/>
    <col min="2586" max="2590" width="26.7109375" style="300" bestFit="1" customWidth="1"/>
    <col min="2591" max="2591" width="24.85546875" style="300" bestFit="1" customWidth="1"/>
    <col min="2592" max="2592" width="31" style="300" bestFit="1" customWidth="1"/>
    <col min="2593" max="2821" width="11.5703125" style="300"/>
    <col min="2822" max="2822" width="3.42578125" style="300" bestFit="1" customWidth="1"/>
    <col min="2823" max="2823" width="28" style="300" customWidth="1"/>
    <col min="2824" max="2824" width="11.28515625" style="300" customWidth="1"/>
    <col min="2825" max="2825" width="7.42578125" style="300" customWidth="1"/>
    <col min="2826" max="2826" width="13.7109375" style="300" customWidth="1"/>
    <col min="2827" max="2827" width="8.140625" style="300" customWidth="1"/>
    <col min="2828" max="2828" width="1.85546875" style="300" customWidth="1"/>
    <col min="2829" max="2829" width="8.140625" style="300" customWidth="1"/>
    <col min="2830" max="2830" width="13.42578125" style="300" bestFit="1" customWidth="1"/>
    <col min="2831" max="2831" width="4.5703125" style="300" bestFit="1" customWidth="1"/>
    <col min="2832" max="2832" width="26.7109375" style="300" customWidth="1"/>
    <col min="2833" max="2833" width="14.7109375" style="300" bestFit="1" customWidth="1"/>
    <col min="2834" max="2834" width="7" style="300" bestFit="1" customWidth="1"/>
    <col min="2835" max="2835" width="10.7109375" style="300" bestFit="1" customWidth="1"/>
    <col min="2836" max="2836" width="6.28515625" style="300" bestFit="1" customWidth="1"/>
    <col min="2837" max="2837" width="14.42578125" style="300" bestFit="1" customWidth="1"/>
    <col min="2838" max="2838" width="7" style="300" bestFit="1" customWidth="1"/>
    <col min="2839" max="2839" width="20.5703125" style="300" customWidth="1"/>
    <col min="2840" max="2840" width="5.5703125" style="300" bestFit="1" customWidth="1"/>
    <col min="2841" max="2841" width="11.28515625" style="300" customWidth="1"/>
    <col min="2842" max="2846" width="26.7109375" style="300" bestFit="1" customWidth="1"/>
    <col min="2847" max="2847" width="24.85546875" style="300" bestFit="1" customWidth="1"/>
    <col min="2848" max="2848" width="31" style="300" bestFit="1" customWidth="1"/>
    <col min="2849" max="3077" width="11.5703125" style="300"/>
    <col min="3078" max="3078" width="3.42578125" style="300" bestFit="1" customWidth="1"/>
    <col min="3079" max="3079" width="28" style="300" customWidth="1"/>
    <col min="3080" max="3080" width="11.28515625" style="300" customWidth="1"/>
    <col min="3081" max="3081" width="7.42578125" style="300" customWidth="1"/>
    <col min="3082" max="3082" width="13.7109375" style="300" customWidth="1"/>
    <col min="3083" max="3083" width="8.140625" style="300" customWidth="1"/>
    <col min="3084" max="3084" width="1.85546875" style="300" customWidth="1"/>
    <col min="3085" max="3085" width="8.140625" style="300" customWidth="1"/>
    <col min="3086" max="3086" width="13.42578125" style="300" bestFit="1" customWidth="1"/>
    <col min="3087" max="3087" width="4.5703125" style="300" bestFit="1" customWidth="1"/>
    <col min="3088" max="3088" width="26.7109375" style="300" customWidth="1"/>
    <col min="3089" max="3089" width="14.7109375" style="300" bestFit="1" customWidth="1"/>
    <col min="3090" max="3090" width="7" style="300" bestFit="1" customWidth="1"/>
    <col min="3091" max="3091" width="10.7109375" style="300" bestFit="1" customWidth="1"/>
    <col min="3092" max="3092" width="6.28515625" style="300" bestFit="1" customWidth="1"/>
    <col min="3093" max="3093" width="14.42578125" style="300" bestFit="1" customWidth="1"/>
    <col min="3094" max="3094" width="7" style="300" bestFit="1" customWidth="1"/>
    <col min="3095" max="3095" width="20.5703125" style="300" customWidth="1"/>
    <col min="3096" max="3096" width="5.5703125" style="300" bestFit="1" customWidth="1"/>
    <col min="3097" max="3097" width="11.28515625" style="300" customWidth="1"/>
    <col min="3098" max="3102" width="26.7109375" style="300" bestFit="1" customWidth="1"/>
    <col min="3103" max="3103" width="24.85546875" style="300" bestFit="1" customWidth="1"/>
    <col min="3104" max="3104" width="31" style="300" bestFit="1" customWidth="1"/>
    <col min="3105" max="3333" width="11.5703125" style="300"/>
    <col min="3334" max="3334" width="3.42578125" style="300" bestFit="1" customWidth="1"/>
    <col min="3335" max="3335" width="28" style="300" customWidth="1"/>
    <col min="3336" max="3336" width="11.28515625" style="300" customWidth="1"/>
    <col min="3337" max="3337" width="7.42578125" style="300" customWidth="1"/>
    <col min="3338" max="3338" width="13.7109375" style="300" customWidth="1"/>
    <col min="3339" max="3339" width="8.140625" style="300" customWidth="1"/>
    <col min="3340" max="3340" width="1.85546875" style="300" customWidth="1"/>
    <col min="3341" max="3341" width="8.140625" style="300" customWidth="1"/>
    <col min="3342" max="3342" width="13.42578125" style="300" bestFit="1" customWidth="1"/>
    <col min="3343" max="3343" width="4.5703125" style="300" bestFit="1" customWidth="1"/>
    <col min="3344" max="3344" width="26.7109375" style="300" customWidth="1"/>
    <col min="3345" max="3345" width="14.7109375" style="300" bestFit="1" customWidth="1"/>
    <col min="3346" max="3346" width="7" style="300" bestFit="1" customWidth="1"/>
    <col min="3347" max="3347" width="10.7109375" style="300" bestFit="1" customWidth="1"/>
    <col min="3348" max="3348" width="6.28515625" style="300" bestFit="1" customWidth="1"/>
    <col min="3349" max="3349" width="14.42578125" style="300" bestFit="1" customWidth="1"/>
    <col min="3350" max="3350" width="7" style="300" bestFit="1" customWidth="1"/>
    <col min="3351" max="3351" width="20.5703125" style="300" customWidth="1"/>
    <col min="3352" max="3352" width="5.5703125" style="300" bestFit="1" customWidth="1"/>
    <col min="3353" max="3353" width="11.28515625" style="300" customWidth="1"/>
    <col min="3354" max="3358" width="26.7109375" style="300" bestFit="1" customWidth="1"/>
    <col min="3359" max="3359" width="24.85546875" style="300" bestFit="1" customWidth="1"/>
    <col min="3360" max="3360" width="31" style="300" bestFit="1" customWidth="1"/>
    <col min="3361" max="3589" width="11.5703125" style="300"/>
    <col min="3590" max="3590" width="3.42578125" style="300" bestFit="1" customWidth="1"/>
    <col min="3591" max="3591" width="28" style="300" customWidth="1"/>
    <col min="3592" max="3592" width="11.28515625" style="300" customWidth="1"/>
    <col min="3593" max="3593" width="7.42578125" style="300" customWidth="1"/>
    <col min="3594" max="3594" width="13.7109375" style="300" customWidth="1"/>
    <col min="3595" max="3595" width="8.140625" style="300" customWidth="1"/>
    <col min="3596" max="3596" width="1.85546875" style="300" customWidth="1"/>
    <col min="3597" max="3597" width="8.140625" style="300" customWidth="1"/>
    <col min="3598" max="3598" width="13.42578125" style="300" bestFit="1" customWidth="1"/>
    <col min="3599" max="3599" width="4.5703125" style="300" bestFit="1" customWidth="1"/>
    <col min="3600" max="3600" width="26.7109375" style="300" customWidth="1"/>
    <col min="3601" max="3601" width="14.7109375" style="300" bestFit="1" customWidth="1"/>
    <col min="3602" max="3602" width="7" style="300" bestFit="1" customWidth="1"/>
    <col min="3603" max="3603" width="10.7109375" style="300" bestFit="1" customWidth="1"/>
    <col min="3604" max="3604" width="6.28515625" style="300" bestFit="1" customWidth="1"/>
    <col min="3605" max="3605" width="14.42578125" style="300" bestFit="1" customWidth="1"/>
    <col min="3606" max="3606" width="7" style="300" bestFit="1" customWidth="1"/>
    <col min="3607" max="3607" width="20.5703125" style="300" customWidth="1"/>
    <col min="3608" max="3608" width="5.5703125" style="300" bestFit="1" customWidth="1"/>
    <col min="3609" max="3609" width="11.28515625" style="300" customWidth="1"/>
    <col min="3610" max="3614" width="26.7109375" style="300" bestFit="1" customWidth="1"/>
    <col min="3615" max="3615" width="24.85546875" style="300" bestFit="1" customWidth="1"/>
    <col min="3616" max="3616" width="31" style="300" bestFit="1" customWidth="1"/>
    <col min="3617" max="3845" width="11.5703125" style="300"/>
    <col min="3846" max="3846" width="3.42578125" style="300" bestFit="1" customWidth="1"/>
    <col min="3847" max="3847" width="28" style="300" customWidth="1"/>
    <col min="3848" max="3848" width="11.28515625" style="300" customWidth="1"/>
    <col min="3849" max="3849" width="7.42578125" style="300" customWidth="1"/>
    <col min="3850" max="3850" width="13.7109375" style="300" customWidth="1"/>
    <col min="3851" max="3851" width="8.140625" style="300" customWidth="1"/>
    <col min="3852" max="3852" width="1.85546875" style="300" customWidth="1"/>
    <col min="3853" max="3853" width="8.140625" style="300" customWidth="1"/>
    <col min="3854" max="3854" width="13.42578125" style="300" bestFit="1" customWidth="1"/>
    <col min="3855" max="3855" width="4.5703125" style="300" bestFit="1" customWidth="1"/>
    <col min="3856" max="3856" width="26.7109375" style="300" customWidth="1"/>
    <col min="3857" max="3857" width="14.7109375" style="300" bestFit="1" customWidth="1"/>
    <col min="3858" max="3858" width="7" style="300" bestFit="1" customWidth="1"/>
    <col min="3859" max="3859" width="10.7109375" style="300" bestFit="1" customWidth="1"/>
    <col min="3860" max="3860" width="6.28515625" style="300" bestFit="1" customWidth="1"/>
    <col min="3861" max="3861" width="14.42578125" style="300" bestFit="1" customWidth="1"/>
    <col min="3862" max="3862" width="7" style="300" bestFit="1" customWidth="1"/>
    <col min="3863" max="3863" width="20.5703125" style="300" customWidth="1"/>
    <col min="3864" max="3864" width="5.5703125" style="300" bestFit="1" customWidth="1"/>
    <col min="3865" max="3865" width="11.28515625" style="300" customWidth="1"/>
    <col min="3866" max="3870" width="26.7109375" style="300" bestFit="1" customWidth="1"/>
    <col min="3871" max="3871" width="24.85546875" style="300" bestFit="1" customWidth="1"/>
    <col min="3872" max="3872" width="31" style="300" bestFit="1" customWidth="1"/>
    <col min="3873" max="4101" width="11.5703125" style="300"/>
    <col min="4102" max="4102" width="3.42578125" style="300" bestFit="1" customWidth="1"/>
    <col min="4103" max="4103" width="28" style="300" customWidth="1"/>
    <col min="4104" max="4104" width="11.28515625" style="300" customWidth="1"/>
    <col min="4105" max="4105" width="7.42578125" style="300" customWidth="1"/>
    <col min="4106" max="4106" width="13.7109375" style="300" customWidth="1"/>
    <col min="4107" max="4107" width="8.140625" style="300" customWidth="1"/>
    <col min="4108" max="4108" width="1.85546875" style="300" customWidth="1"/>
    <col min="4109" max="4109" width="8.140625" style="300" customWidth="1"/>
    <col min="4110" max="4110" width="13.42578125" style="300" bestFit="1" customWidth="1"/>
    <col min="4111" max="4111" width="4.5703125" style="300" bestFit="1" customWidth="1"/>
    <col min="4112" max="4112" width="26.7109375" style="300" customWidth="1"/>
    <col min="4113" max="4113" width="14.7109375" style="300" bestFit="1" customWidth="1"/>
    <col min="4114" max="4114" width="7" style="300" bestFit="1" customWidth="1"/>
    <col min="4115" max="4115" width="10.7109375" style="300" bestFit="1" customWidth="1"/>
    <col min="4116" max="4116" width="6.28515625" style="300" bestFit="1" customWidth="1"/>
    <col min="4117" max="4117" width="14.42578125" style="300" bestFit="1" customWidth="1"/>
    <col min="4118" max="4118" width="7" style="300" bestFit="1" customWidth="1"/>
    <col min="4119" max="4119" width="20.5703125" style="300" customWidth="1"/>
    <col min="4120" max="4120" width="5.5703125" style="300" bestFit="1" customWidth="1"/>
    <col min="4121" max="4121" width="11.28515625" style="300" customWidth="1"/>
    <col min="4122" max="4126" width="26.7109375" style="300" bestFit="1" customWidth="1"/>
    <col min="4127" max="4127" width="24.85546875" style="300" bestFit="1" customWidth="1"/>
    <col min="4128" max="4128" width="31" style="300" bestFit="1" customWidth="1"/>
    <col min="4129" max="4357" width="11.5703125" style="300"/>
    <col min="4358" max="4358" width="3.42578125" style="300" bestFit="1" customWidth="1"/>
    <col min="4359" max="4359" width="28" style="300" customWidth="1"/>
    <col min="4360" max="4360" width="11.28515625" style="300" customWidth="1"/>
    <col min="4361" max="4361" width="7.42578125" style="300" customWidth="1"/>
    <col min="4362" max="4362" width="13.7109375" style="300" customWidth="1"/>
    <col min="4363" max="4363" width="8.140625" style="300" customWidth="1"/>
    <col min="4364" max="4364" width="1.85546875" style="300" customWidth="1"/>
    <col min="4365" max="4365" width="8.140625" style="300" customWidth="1"/>
    <col min="4366" max="4366" width="13.42578125" style="300" bestFit="1" customWidth="1"/>
    <col min="4367" max="4367" width="4.5703125" style="300" bestFit="1" customWidth="1"/>
    <col min="4368" max="4368" width="26.7109375" style="300" customWidth="1"/>
    <col min="4369" max="4369" width="14.7109375" style="300" bestFit="1" customWidth="1"/>
    <col min="4370" max="4370" width="7" style="300" bestFit="1" customWidth="1"/>
    <col min="4371" max="4371" width="10.7109375" style="300" bestFit="1" customWidth="1"/>
    <col min="4372" max="4372" width="6.28515625" style="300" bestFit="1" customWidth="1"/>
    <col min="4373" max="4373" width="14.42578125" style="300" bestFit="1" customWidth="1"/>
    <col min="4374" max="4374" width="7" style="300" bestFit="1" customWidth="1"/>
    <col min="4375" max="4375" width="20.5703125" style="300" customWidth="1"/>
    <col min="4376" max="4376" width="5.5703125" style="300" bestFit="1" customWidth="1"/>
    <col min="4377" max="4377" width="11.28515625" style="300" customWidth="1"/>
    <col min="4378" max="4382" width="26.7109375" style="300" bestFit="1" customWidth="1"/>
    <col min="4383" max="4383" width="24.85546875" style="300" bestFit="1" customWidth="1"/>
    <col min="4384" max="4384" width="31" style="300" bestFit="1" customWidth="1"/>
    <col min="4385" max="4613" width="11.5703125" style="300"/>
    <col min="4614" max="4614" width="3.42578125" style="300" bestFit="1" customWidth="1"/>
    <col min="4615" max="4615" width="28" style="300" customWidth="1"/>
    <col min="4616" max="4616" width="11.28515625" style="300" customWidth="1"/>
    <col min="4617" max="4617" width="7.42578125" style="300" customWidth="1"/>
    <col min="4618" max="4618" width="13.7109375" style="300" customWidth="1"/>
    <col min="4619" max="4619" width="8.140625" style="300" customWidth="1"/>
    <col min="4620" max="4620" width="1.85546875" style="300" customWidth="1"/>
    <col min="4621" max="4621" width="8.140625" style="300" customWidth="1"/>
    <col min="4622" max="4622" width="13.42578125" style="300" bestFit="1" customWidth="1"/>
    <col min="4623" max="4623" width="4.5703125" style="300" bestFit="1" customWidth="1"/>
    <col min="4624" max="4624" width="26.7109375" style="300" customWidth="1"/>
    <col min="4625" max="4625" width="14.7109375" style="300" bestFit="1" customWidth="1"/>
    <col min="4626" max="4626" width="7" style="300" bestFit="1" customWidth="1"/>
    <col min="4627" max="4627" width="10.7109375" style="300" bestFit="1" customWidth="1"/>
    <col min="4628" max="4628" width="6.28515625" style="300" bestFit="1" customWidth="1"/>
    <col min="4629" max="4629" width="14.42578125" style="300" bestFit="1" customWidth="1"/>
    <col min="4630" max="4630" width="7" style="300" bestFit="1" customWidth="1"/>
    <col min="4631" max="4631" width="20.5703125" style="300" customWidth="1"/>
    <col min="4632" max="4632" width="5.5703125" style="300" bestFit="1" customWidth="1"/>
    <col min="4633" max="4633" width="11.28515625" style="300" customWidth="1"/>
    <col min="4634" max="4638" width="26.7109375" style="300" bestFit="1" customWidth="1"/>
    <col min="4639" max="4639" width="24.85546875" style="300" bestFit="1" customWidth="1"/>
    <col min="4640" max="4640" width="31" style="300" bestFit="1" customWidth="1"/>
    <col min="4641" max="4869" width="11.5703125" style="300"/>
    <col min="4870" max="4870" width="3.42578125" style="300" bestFit="1" customWidth="1"/>
    <col min="4871" max="4871" width="28" style="300" customWidth="1"/>
    <col min="4872" max="4872" width="11.28515625" style="300" customWidth="1"/>
    <col min="4873" max="4873" width="7.42578125" style="300" customWidth="1"/>
    <col min="4874" max="4874" width="13.7109375" style="300" customWidth="1"/>
    <col min="4875" max="4875" width="8.140625" style="300" customWidth="1"/>
    <col min="4876" max="4876" width="1.85546875" style="300" customWidth="1"/>
    <col min="4877" max="4877" width="8.140625" style="300" customWidth="1"/>
    <col min="4878" max="4878" width="13.42578125" style="300" bestFit="1" customWidth="1"/>
    <col min="4879" max="4879" width="4.5703125" style="300" bestFit="1" customWidth="1"/>
    <col min="4880" max="4880" width="26.7109375" style="300" customWidth="1"/>
    <col min="4881" max="4881" width="14.7109375" style="300" bestFit="1" customWidth="1"/>
    <col min="4882" max="4882" width="7" style="300" bestFit="1" customWidth="1"/>
    <col min="4883" max="4883" width="10.7109375" style="300" bestFit="1" customWidth="1"/>
    <col min="4884" max="4884" width="6.28515625" style="300" bestFit="1" customWidth="1"/>
    <col min="4885" max="4885" width="14.42578125" style="300" bestFit="1" customWidth="1"/>
    <col min="4886" max="4886" width="7" style="300" bestFit="1" customWidth="1"/>
    <col min="4887" max="4887" width="20.5703125" style="300" customWidth="1"/>
    <col min="4888" max="4888" width="5.5703125" style="300" bestFit="1" customWidth="1"/>
    <col min="4889" max="4889" width="11.28515625" style="300" customWidth="1"/>
    <col min="4890" max="4894" width="26.7109375" style="300" bestFit="1" customWidth="1"/>
    <col min="4895" max="4895" width="24.85546875" style="300" bestFit="1" customWidth="1"/>
    <col min="4896" max="4896" width="31" style="300" bestFit="1" customWidth="1"/>
    <col min="4897" max="5125" width="11.5703125" style="300"/>
    <col min="5126" max="5126" width="3.42578125" style="300" bestFit="1" customWidth="1"/>
    <col min="5127" max="5127" width="28" style="300" customWidth="1"/>
    <col min="5128" max="5128" width="11.28515625" style="300" customWidth="1"/>
    <col min="5129" max="5129" width="7.42578125" style="300" customWidth="1"/>
    <col min="5130" max="5130" width="13.7109375" style="300" customWidth="1"/>
    <col min="5131" max="5131" width="8.140625" style="300" customWidth="1"/>
    <col min="5132" max="5132" width="1.85546875" style="300" customWidth="1"/>
    <col min="5133" max="5133" width="8.140625" style="300" customWidth="1"/>
    <col min="5134" max="5134" width="13.42578125" style="300" bestFit="1" customWidth="1"/>
    <col min="5135" max="5135" width="4.5703125" style="300" bestFit="1" customWidth="1"/>
    <col min="5136" max="5136" width="26.7109375" style="300" customWidth="1"/>
    <col min="5137" max="5137" width="14.7109375" style="300" bestFit="1" customWidth="1"/>
    <col min="5138" max="5138" width="7" style="300" bestFit="1" customWidth="1"/>
    <col min="5139" max="5139" width="10.7109375" style="300" bestFit="1" customWidth="1"/>
    <col min="5140" max="5140" width="6.28515625" style="300" bestFit="1" customWidth="1"/>
    <col min="5141" max="5141" width="14.42578125" style="300" bestFit="1" customWidth="1"/>
    <col min="5142" max="5142" width="7" style="300" bestFit="1" customWidth="1"/>
    <col min="5143" max="5143" width="20.5703125" style="300" customWidth="1"/>
    <col min="5144" max="5144" width="5.5703125" style="300" bestFit="1" customWidth="1"/>
    <col min="5145" max="5145" width="11.28515625" style="300" customWidth="1"/>
    <col min="5146" max="5150" width="26.7109375" style="300" bestFit="1" customWidth="1"/>
    <col min="5151" max="5151" width="24.85546875" style="300" bestFit="1" customWidth="1"/>
    <col min="5152" max="5152" width="31" style="300" bestFit="1" customWidth="1"/>
    <col min="5153" max="5381" width="11.5703125" style="300"/>
    <col min="5382" max="5382" width="3.42578125" style="300" bestFit="1" customWidth="1"/>
    <col min="5383" max="5383" width="28" style="300" customWidth="1"/>
    <col min="5384" max="5384" width="11.28515625" style="300" customWidth="1"/>
    <col min="5385" max="5385" width="7.42578125" style="300" customWidth="1"/>
    <col min="5386" max="5386" width="13.7109375" style="300" customWidth="1"/>
    <col min="5387" max="5387" width="8.140625" style="300" customWidth="1"/>
    <col min="5388" max="5388" width="1.85546875" style="300" customWidth="1"/>
    <col min="5389" max="5389" width="8.140625" style="300" customWidth="1"/>
    <col min="5390" max="5390" width="13.42578125" style="300" bestFit="1" customWidth="1"/>
    <col min="5391" max="5391" width="4.5703125" style="300" bestFit="1" customWidth="1"/>
    <col min="5392" max="5392" width="26.7109375" style="300" customWidth="1"/>
    <col min="5393" max="5393" width="14.7109375" style="300" bestFit="1" customWidth="1"/>
    <col min="5394" max="5394" width="7" style="300" bestFit="1" customWidth="1"/>
    <col min="5395" max="5395" width="10.7109375" style="300" bestFit="1" customWidth="1"/>
    <col min="5396" max="5396" width="6.28515625" style="300" bestFit="1" customWidth="1"/>
    <col min="5397" max="5397" width="14.42578125" style="300" bestFit="1" customWidth="1"/>
    <col min="5398" max="5398" width="7" style="300" bestFit="1" customWidth="1"/>
    <col min="5399" max="5399" width="20.5703125" style="300" customWidth="1"/>
    <col min="5400" max="5400" width="5.5703125" style="300" bestFit="1" customWidth="1"/>
    <col min="5401" max="5401" width="11.28515625" style="300" customWidth="1"/>
    <col min="5402" max="5406" width="26.7109375" style="300" bestFit="1" customWidth="1"/>
    <col min="5407" max="5407" width="24.85546875" style="300" bestFit="1" customWidth="1"/>
    <col min="5408" max="5408" width="31" style="300" bestFit="1" customWidth="1"/>
    <col min="5409" max="5637" width="11.5703125" style="300"/>
    <col min="5638" max="5638" width="3.42578125" style="300" bestFit="1" customWidth="1"/>
    <col min="5639" max="5639" width="28" style="300" customWidth="1"/>
    <col min="5640" max="5640" width="11.28515625" style="300" customWidth="1"/>
    <col min="5641" max="5641" width="7.42578125" style="300" customWidth="1"/>
    <col min="5642" max="5642" width="13.7109375" style="300" customWidth="1"/>
    <col min="5643" max="5643" width="8.140625" style="300" customWidth="1"/>
    <col min="5644" max="5644" width="1.85546875" style="300" customWidth="1"/>
    <col min="5645" max="5645" width="8.140625" style="300" customWidth="1"/>
    <col min="5646" max="5646" width="13.42578125" style="300" bestFit="1" customWidth="1"/>
    <col min="5647" max="5647" width="4.5703125" style="300" bestFit="1" customWidth="1"/>
    <col min="5648" max="5648" width="26.7109375" style="300" customWidth="1"/>
    <col min="5649" max="5649" width="14.7109375" style="300" bestFit="1" customWidth="1"/>
    <col min="5650" max="5650" width="7" style="300" bestFit="1" customWidth="1"/>
    <col min="5651" max="5651" width="10.7109375" style="300" bestFit="1" customWidth="1"/>
    <col min="5652" max="5652" width="6.28515625" style="300" bestFit="1" customWidth="1"/>
    <col min="5653" max="5653" width="14.42578125" style="300" bestFit="1" customWidth="1"/>
    <col min="5654" max="5654" width="7" style="300" bestFit="1" customWidth="1"/>
    <col min="5655" max="5655" width="20.5703125" style="300" customWidth="1"/>
    <col min="5656" max="5656" width="5.5703125" style="300" bestFit="1" customWidth="1"/>
    <col min="5657" max="5657" width="11.28515625" style="300" customWidth="1"/>
    <col min="5658" max="5662" width="26.7109375" style="300" bestFit="1" customWidth="1"/>
    <col min="5663" max="5663" width="24.85546875" style="300" bestFit="1" customWidth="1"/>
    <col min="5664" max="5664" width="31" style="300" bestFit="1" customWidth="1"/>
    <col min="5665" max="5893" width="11.5703125" style="300"/>
    <col min="5894" max="5894" width="3.42578125" style="300" bestFit="1" customWidth="1"/>
    <col min="5895" max="5895" width="28" style="300" customWidth="1"/>
    <col min="5896" max="5896" width="11.28515625" style="300" customWidth="1"/>
    <col min="5897" max="5897" width="7.42578125" style="300" customWidth="1"/>
    <col min="5898" max="5898" width="13.7109375" style="300" customWidth="1"/>
    <col min="5899" max="5899" width="8.140625" style="300" customWidth="1"/>
    <col min="5900" max="5900" width="1.85546875" style="300" customWidth="1"/>
    <col min="5901" max="5901" width="8.140625" style="300" customWidth="1"/>
    <col min="5902" max="5902" width="13.42578125" style="300" bestFit="1" customWidth="1"/>
    <col min="5903" max="5903" width="4.5703125" style="300" bestFit="1" customWidth="1"/>
    <col min="5904" max="5904" width="26.7109375" style="300" customWidth="1"/>
    <col min="5905" max="5905" width="14.7109375" style="300" bestFit="1" customWidth="1"/>
    <col min="5906" max="5906" width="7" style="300" bestFit="1" customWidth="1"/>
    <col min="5907" max="5907" width="10.7109375" style="300" bestFit="1" customWidth="1"/>
    <col min="5908" max="5908" width="6.28515625" style="300" bestFit="1" customWidth="1"/>
    <col min="5909" max="5909" width="14.42578125" style="300" bestFit="1" customWidth="1"/>
    <col min="5910" max="5910" width="7" style="300" bestFit="1" customWidth="1"/>
    <col min="5911" max="5911" width="20.5703125" style="300" customWidth="1"/>
    <col min="5912" max="5912" width="5.5703125" style="300" bestFit="1" customWidth="1"/>
    <col min="5913" max="5913" width="11.28515625" style="300" customWidth="1"/>
    <col min="5914" max="5918" width="26.7109375" style="300" bestFit="1" customWidth="1"/>
    <col min="5919" max="5919" width="24.85546875" style="300" bestFit="1" customWidth="1"/>
    <col min="5920" max="5920" width="31" style="300" bestFit="1" customWidth="1"/>
    <col min="5921" max="6149" width="11.5703125" style="300"/>
    <col min="6150" max="6150" width="3.42578125" style="300" bestFit="1" customWidth="1"/>
    <col min="6151" max="6151" width="28" style="300" customWidth="1"/>
    <col min="6152" max="6152" width="11.28515625" style="300" customWidth="1"/>
    <col min="6153" max="6153" width="7.42578125" style="300" customWidth="1"/>
    <col min="6154" max="6154" width="13.7109375" style="300" customWidth="1"/>
    <col min="6155" max="6155" width="8.140625" style="300" customWidth="1"/>
    <col min="6156" max="6156" width="1.85546875" style="300" customWidth="1"/>
    <col min="6157" max="6157" width="8.140625" style="300" customWidth="1"/>
    <col min="6158" max="6158" width="13.42578125" style="300" bestFit="1" customWidth="1"/>
    <col min="6159" max="6159" width="4.5703125" style="300" bestFit="1" customWidth="1"/>
    <col min="6160" max="6160" width="26.7109375" style="300" customWidth="1"/>
    <col min="6161" max="6161" width="14.7109375" style="300" bestFit="1" customWidth="1"/>
    <col min="6162" max="6162" width="7" style="300" bestFit="1" customWidth="1"/>
    <col min="6163" max="6163" width="10.7109375" style="300" bestFit="1" customWidth="1"/>
    <col min="6164" max="6164" width="6.28515625" style="300" bestFit="1" customWidth="1"/>
    <col min="6165" max="6165" width="14.42578125" style="300" bestFit="1" customWidth="1"/>
    <col min="6166" max="6166" width="7" style="300" bestFit="1" customWidth="1"/>
    <col min="6167" max="6167" width="20.5703125" style="300" customWidth="1"/>
    <col min="6168" max="6168" width="5.5703125" style="300" bestFit="1" customWidth="1"/>
    <col min="6169" max="6169" width="11.28515625" style="300" customWidth="1"/>
    <col min="6170" max="6174" width="26.7109375" style="300" bestFit="1" customWidth="1"/>
    <col min="6175" max="6175" width="24.85546875" style="300" bestFit="1" customWidth="1"/>
    <col min="6176" max="6176" width="31" style="300" bestFit="1" customWidth="1"/>
    <col min="6177" max="6405" width="11.5703125" style="300"/>
    <col min="6406" max="6406" width="3.42578125" style="300" bestFit="1" customWidth="1"/>
    <col min="6407" max="6407" width="28" style="300" customWidth="1"/>
    <col min="6408" max="6408" width="11.28515625" style="300" customWidth="1"/>
    <col min="6409" max="6409" width="7.42578125" style="300" customWidth="1"/>
    <col min="6410" max="6410" width="13.7109375" style="300" customWidth="1"/>
    <col min="6411" max="6411" width="8.140625" style="300" customWidth="1"/>
    <col min="6412" max="6412" width="1.85546875" style="300" customWidth="1"/>
    <col min="6413" max="6413" width="8.140625" style="300" customWidth="1"/>
    <col min="6414" max="6414" width="13.42578125" style="300" bestFit="1" customWidth="1"/>
    <col min="6415" max="6415" width="4.5703125" style="300" bestFit="1" customWidth="1"/>
    <col min="6416" max="6416" width="26.7109375" style="300" customWidth="1"/>
    <col min="6417" max="6417" width="14.7109375" style="300" bestFit="1" customWidth="1"/>
    <col min="6418" max="6418" width="7" style="300" bestFit="1" customWidth="1"/>
    <col min="6419" max="6419" width="10.7109375" style="300" bestFit="1" customWidth="1"/>
    <col min="6420" max="6420" width="6.28515625" style="300" bestFit="1" customWidth="1"/>
    <col min="6421" max="6421" width="14.42578125" style="300" bestFit="1" customWidth="1"/>
    <col min="6422" max="6422" width="7" style="300" bestFit="1" customWidth="1"/>
    <col min="6423" max="6423" width="20.5703125" style="300" customWidth="1"/>
    <col min="6424" max="6424" width="5.5703125" style="300" bestFit="1" customWidth="1"/>
    <col min="6425" max="6425" width="11.28515625" style="300" customWidth="1"/>
    <col min="6426" max="6430" width="26.7109375" style="300" bestFit="1" customWidth="1"/>
    <col min="6431" max="6431" width="24.85546875" style="300" bestFit="1" customWidth="1"/>
    <col min="6432" max="6432" width="31" style="300" bestFit="1" customWidth="1"/>
    <col min="6433" max="6661" width="11.5703125" style="300"/>
    <col min="6662" max="6662" width="3.42578125" style="300" bestFit="1" customWidth="1"/>
    <col min="6663" max="6663" width="28" style="300" customWidth="1"/>
    <col min="6664" max="6664" width="11.28515625" style="300" customWidth="1"/>
    <col min="6665" max="6665" width="7.42578125" style="300" customWidth="1"/>
    <col min="6666" max="6666" width="13.7109375" style="300" customWidth="1"/>
    <col min="6667" max="6667" width="8.140625" style="300" customWidth="1"/>
    <col min="6668" max="6668" width="1.85546875" style="300" customWidth="1"/>
    <col min="6669" max="6669" width="8.140625" style="300" customWidth="1"/>
    <col min="6670" max="6670" width="13.42578125" style="300" bestFit="1" customWidth="1"/>
    <col min="6671" max="6671" width="4.5703125" style="300" bestFit="1" customWidth="1"/>
    <col min="6672" max="6672" width="26.7109375" style="300" customWidth="1"/>
    <col min="6673" max="6673" width="14.7109375" style="300" bestFit="1" customWidth="1"/>
    <col min="6674" max="6674" width="7" style="300" bestFit="1" customWidth="1"/>
    <col min="6675" max="6675" width="10.7109375" style="300" bestFit="1" customWidth="1"/>
    <col min="6676" max="6676" width="6.28515625" style="300" bestFit="1" customWidth="1"/>
    <col min="6677" max="6677" width="14.42578125" style="300" bestFit="1" customWidth="1"/>
    <col min="6678" max="6678" width="7" style="300" bestFit="1" customWidth="1"/>
    <col min="6679" max="6679" width="20.5703125" style="300" customWidth="1"/>
    <col min="6680" max="6680" width="5.5703125" style="300" bestFit="1" customWidth="1"/>
    <col min="6681" max="6681" width="11.28515625" style="300" customWidth="1"/>
    <col min="6682" max="6686" width="26.7109375" style="300" bestFit="1" customWidth="1"/>
    <col min="6687" max="6687" width="24.85546875" style="300" bestFit="1" customWidth="1"/>
    <col min="6688" max="6688" width="31" style="300" bestFit="1" customWidth="1"/>
    <col min="6689" max="6917" width="11.5703125" style="300"/>
    <col min="6918" max="6918" width="3.42578125" style="300" bestFit="1" customWidth="1"/>
    <col min="6919" max="6919" width="28" style="300" customWidth="1"/>
    <col min="6920" max="6920" width="11.28515625" style="300" customWidth="1"/>
    <col min="6921" max="6921" width="7.42578125" style="300" customWidth="1"/>
    <col min="6922" max="6922" width="13.7109375" style="300" customWidth="1"/>
    <col min="6923" max="6923" width="8.140625" style="300" customWidth="1"/>
    <col min="6924" max="6924" width="1.85546875" style="300" customWidth="1"/>
    <col min="6925" max="6925" width="8.140625" style="300" customWidth="1"/>
    <col min="6926" max="6926" width="13.42578125" style="300" bestFit="1" customWidth="1"/>
    <col min="6927" max="6927" width="4.5703125" style="300" bestFit="1" customWidth="1"/>
    <col min="6928" max="6928" width="26.7109375" style="300" customWidth="1"/>
    <col min="6929" max="6929" width="14.7109375" style="300" bestFit="1" customWidth="1"/>
    <col min="6930" max="6930" width="7" style="300" bestFit="1" customWidth="1"/>
    <col min="6931" max="6931" width="10.7109375" style="300" bestFit="1" customWidth="1"/>
    <col min="6932" max="6932" width="6.28515625" style="300" bestFit="1" customWidth="1"/>
    <col min="6933" max="6933" width="14.42578125" style="300" bestFit="1" customWidth="1"/>
    <col min="6934" max="6934" width="7" style="300" bestFit="1" customWidth="1"/>
    <col min="6935" max="6935" width="20.5703125" style="300" customWidth="1"/>
    <col min="6936" max="6936" width="5.5703125" style="300" bestFit="1" customWidth="1"/>
    <col min="6937" max="6937" width="11.28515625" style="300" customWidth="1"/>
    <col min="6938" max="6942" width="26.7109375" style="300" bestFit="1" customWidth="1"/>
    <col min="6943" max="6943" width="24.85546875" style="300" bestFit="1" customWidth="1"/>
    <col min="6944" max="6944" width="31" style="300" bestFit="1" customWidth="1"/>
    <col min="6945" max="7173" width="11.5703125" style="300"/>
    <col min="7174" max="7174" width="3.42578125" style="300" bestFit="1" customWidth="1"/>
    <col min="7175" max="7175" width="28" style="300" customWidth="1"/>
    <col min="7176" max="7176" width="11.28515625" style="300" customWidth="1"/>
    <col min="7177" max="7177" width="7.42578125" style="300" customWidth="1"/>
    <col min="7178" max="7178" width="13.7109375" style="300" customWidth="1"/>
    <col min="7179" max="7179" width="8.140625" style="300" customWidth="1"/>
    <col min="7180" max="7180" width="1.85546875" style="300" customWidth="1"/>
    <col min="7181" max="7181" width="8.140625" style="300" customWidth="1"/>
    <col min="7182" max="7182" width="13.42578125" style="300" bestFit="1" customWidth="1"/>
    <col min="7183" max="7183" width="4.5703125" style="300" bestFit="1" customWidth="1"/>
    <col min="7184" max="7184" width="26.7109375" style="300" customWidth="1"/>
    <col min="7185" max="7185" width="14.7109375" style="300" bestFit="1" customWidth="1"/>
    <col min="7186" max="7186" width="7" style="300" bestFit="1" customWidth="1"/>
    <col min="7187" max="7187" width="10.7109375" style="300" bestFit="1" customWidth="1"/>
    <col min="7188" max="7188" width="6.28515625" style="300" bestFit="1" customWidth="1"/>
    <col min="7189" max="7189" width="14.42578125" style="300" bestFit="1" customWidth="1"/>
    <col min="7190" max="7190" width="7" style="300" bestFit="1" customWidth="1"/>
    <col min="7191" max="7191" width="20.5703125" style="300" customWidth="1"/>
    <col min="7192" max="7192" width="5.5703125" style="300" bestFit="1" customWidth="1"/>
    <col min="7193" max="7193" width="11.28515625" style="300" customWidth="1"/>
    <col min="7194" max="7198" width="26.7109375" style="300" bestFit="1" customWidth="1"/>
    <col min="7199" max="7199" width="24.85546875" style="300" bestFit="1" customWidth="1"/>
    <col min="7200" max="7200" width="31" style="300" bestFit="1" customWidth="1"/>
    <col min="7201" max="7429" width="11.5703125" style="300"/>
    <col min="7430" max="7430" width="3.42578125" style="300" bestFit="1" customWidth="1"/>
    <col min="7431" max="7431" width="28" style="300" customWidth="1"/>
    <col min="7432" max="7432" width="11.28515625" style="300" customWidth="1"/>
    <col min="7433" max="7433" width="7.42578125" style="300" customWidth="1"/>
    <col min="7434" max="7434" width="13.7109375" style="300" customWidth="1"/>
    <col min="7435" max="7435" width="8.140625" style="300" customWidth="1"/>
    <col min="7436" max="7436" width="1.85546875" style="300" customWidth="1"/>
    <col min="7437" max="7437" width="8.140625" style="300" customWidth="1"/>
    <col min="7438" max="7438" width="13.42578125" style="300" bestFit="1" customWidth="1"/>
    <col min="7439" max="7439" width="4.5703125" style="300" bestFit="1" customWidth="1"/>
    <col min="7440" max="7440" width="26.7109375" style="300" customWidth="1"/>
    <col min="7441" max="7441" width="14.7109375" style="300" bestFit="1" customWidth="1"/>
    <col min="7442" max="7442" width="7" style="300" bestFit="1" customWidth="1"/>
    <col min="7443" max="7443" width="10.7109375" style="300" bestFit="1" customWidth="1"/>
    <col min="7444" max="7444" width="6.28515625" style="300" bestFit="1" customWidth="1"/>
    <col min="7445" max="7445" width="14.42578125" style="300" bestFit="1" customWidth="1"/>
    <col min="7446" max="7446" width="7" style="300" bestFit="1" customWidth="1"/>
    <col min="7447" max="7447" width="20.5703125" style="300" customWidth="1"/>
    <col min="7448" max="7448" width="5.5703125" style="300" bestFit="1" customWidth="1"/>
    <col min="7449" max="7449" width="11.28515625" style="300" customWidth="1"/>
    <col min="7450" max="7454" width="26.7109375" style="300" bestFit="1" customWidth="1"/>
    <col min="7455" max="7455" width="24.85546875" style="300" bestFit="1" customWidth="1"/>
    <col min="7456" max="7456" width="31" style="300" bestFit="1" customWidth="1"/>
    <col min="7457" max="7685" width="11.5703125" style="300"/>
    <col min="7686" max="7686" width="3.42578125" style="300" bestFit="1" customWidth="1"/>
    <col min="7687" max="7687" width="28" style="300" customWidth="1"/>
    <col min="7688" max="7688" width="11.28515625" style="300" customWidth="1"/>
    <col min="7689" max="7689" width="7.42578125" style="300" customWidth="1"/>
    <col min="7690" max="7690" width="13.7109375" style="300" customWidth="1"/>
    <col min="7691" max="7691" width="8.140625" style="300" customWidth="1"/>
    <col min="7692" max="7692" width="1.85546875" style="300" customWidth="1"/>
    <col min="7693" max="7693" width="8.140625" style="300" customWidth="1"/>
    <col min="7694" max="7694" width="13.42578125" style="300" bestFit="1" customWidth="1"/>
    <col min="7695" max="7695" width="4.5703125" style="300" bestFit="1" customWidth="1"/>
    <col min="7696" max="7696" width="26.7109375" style="300" customWidth="1"/>
    <col min="7697" max="7697" width="14.7109375" style="300" bestFit="1" customWidth="1"/>
    <col min="7698" max="7698" width="7" style="300" bestFit="1" customWidth="1"/>
    <col min="7699" max="7699" width="10.7109375" style="300" bestFit="1" customWidth="1"/>
    <col min="7700" max="7700" width="6.28515625" style="300" bestFit="1" customWidth="1"/>
    <col min="7701" max="7701" width="14.42578125" style="300" bestFit="1" customWidth="1"/>
    <col min="7702" max="7702" width="7" style="300" bestFit="1" customWidth="1"/>
    <col min="7703" max="7703" width="20.5703125" style="300" customWidth="1"/>
    <col min="7704" max="7704" width="5.5703125" style="300" bestFit="1" customWidth="1"/>
    <col min="7705" max="7705" width="11.28515625" style="300" customWidth="1"/>
    <col min="7706" max="7710" width="26.7109375" style="300" bestFit="1" customWidth="1"/>
    <col min="7711" max="7711" width="24.85546875" style="300" bestFit="1" customWidth="1"/>
    <col min="7712" max="7712" width="31" style="300" bestFit="1" customWidth="1"/>
    <col min="7713" max="7941" width="11.5703125" style="300"/>
    <col min="7942" max="7942" width="3.42578125" style="300" bestFit="1" customWidth="1"/>
    <col min="7943" max="7943" width="28" style="300" customWidth="1"/>
    <col min="7944" max="7944" width="11.28515625" style="300" customWidth="1"/>
    <col min="7945" max="7945" width="7.42578125" style="300" customWidth="1"/>
    <col min="7946" max="7946" width="13.7109375" style="300" customWidth="1"/>
    <col min="7947" max="7947" width="8.140625" style="300" customWidth="1"/>
    <col min="7948" max="7948" width="1.85546875" style="300" customWidth="1"/>
    <col min="7949" max="7949" width="8.140625" style="300" customWidth="1"/>
    <col min="7950" max="7950" width="13.42578125" style="300" bestFit="1" customWidth="1"/>
    <col min="7951" max="7951" width="4.5703125" style="300" bestFit="1" customWidth="1"/>
    <col min="7952" max="7952" width="26.7109375" style="300" customWidth="1"/>
    <col min="7953" max="7953" width="14.7109375" style="300" bestFit="1" customWidth="1"/>
    <col min="7954" max="7954" width="7" style="300" bestFit="1" customWidth="1"/>
    <col min="7955" max="7955" width="10.7109375" style="300" bestFit="1" customWidth="1"/>
    <col min="7956" max="7956" width="6.28515625" style="300" bestFit="1" customWidth="1"/>
    <col min="7957" max="7957" width="14.42578125" style="300" bestFit="1" customWidth="1"/>
    <col min="7958" max="7958" width="7" style="300" bestFit="1" customWidth="1"/>
    <col min="7959" max="7959" width="20.5703125" style="300" customWidth="1"/>
    <col min="7960" max="7960" width="5.5703125" style="300" bestFit="1" customWidth="1"/>
    <col min="7961" max="7961" width="11.28515625" style="300" customWidth="1"/>
    <col min="7962" max="7966" width="26.7109375" style="300" bestFit="1" customWidth="1"/>
    <col min="7967" max="7967" width="24.85546875" style="300" bestFit="1" customWidth="1"/>
    <col min="7968" max="7968" width="31" style="300" bestFit="1" customWidth="1"/>
    <col min="7969" max="8197" width="11.5703125" style="300"/>
    <col min="8198" max="8198" width="3.42578125" style="300" bestFit="1" customWidth="1"/>
    <col min="8199" max="8199" width="28" style="300" customWidth="1"/>
    <col min="8200" max="8200" width="11.28515625" style="300" customWidth="1"/>
    <col min="8201" max="8201" width="7.42578125" style="300" customWidth="1"/>
    <col min="8202" max="8202" width="13.7109375" style="300" customWidth="1"/>
    <col min="8203" max="8203" width="8.140625" style="300" customWidth="1"/>
    <col min="8204" max="8204" width="1.85546875" style="300" customWidth="1"/>
    <col min="8205" max="8205" width="8.140625" style="300" customWidth="1"/>
    <col min="8206" max="8206" width="13.42578125" style="300" bestFit="1" customWidth="1"/>
    <col min="8207" max="8207" width="4.5703125" style="300" bestFit="1" customWidth="1"/>
    <col min="8208" max="8208" width="26.7109375" style="300" customWidth="1"/>
    <col min="8209" max="8209" width="14.7109375" style="300" bestFit="1" customWidth="1"/>
    <col min="8210" max="8210" width="7" style="300" bestFit="1" customWidth="1"/>
    <col min="8211" max="8211" width="10.7109375" style="300" bestFit="1" customWidth="1"/>
    <col min="8212" max="8212" width="6.28515625" style="300" bestFit="1" customWidth="1"/>
    <col min="8213" max="8213" width="14.42578125" style="300" bestFit="1" customWidth="1"/>
    <col min="8214" max="8214" width="7" style="300" bestFit="1" customWidth="1"/>
    <col min="8215" max="8215" width="20.5703125" style="300" customWidth="1"/>
    <col min="8216" max="8216" width="5.5703125" style="300" bestFit="1" customWidth="1"/>
    <col min="8217" max="8217" width="11.28515625" style="300" customWidth="1"/>
    <col min="8218" max="8222" width="26.7109375" style="300" bestFit="1" customWidth="1"/>
    <col min="8223" max="8223" width="24.85546875" style="300" bestFit="1" customWidth="1"/>
    <col min="8224" max="8224" width="31" style="300" bestFit="1" customWidth="1"/>
    <col min="8225" max="8453" width="11.5703125" style="300"/>
    <col min="8454" max="8454" width="3.42578125" style="300" bestFit="1" customWidth="1"/>
    <col min="8455" max="8455" width="28" style="300" customWidth="1"/>
    <col min="8456" max="8456" width="11.28515625" style="300" customWidth="1"/>
    <col min="8457" max="8457" width="7.42578125" style="300" customWidth="1"/>
    <col min="8458" max="8458" width="13.7109375" style="300" customWidth="1"/>
    <col min="8459" max="8459" width="8.140625" style="300" customWidth="1"/>
    <col min="8460" max="8460" width="1.85546875" style="300" customWidth="1"/>
    <col min="8461" max="8461" width="8.140625" style="300" customWidth="1"/>
    <col min="8462" max="8462" width="13.42578125" style="300" bestFit="1" customWidth="1"/>
    <col min="8463" max="8463" width="4.5703125" style="300" bestFit="1" customWidth="1"/>
    <col min="8464" max="8464" width="26.7109375" style="300" customWidth="1"/>
    <col min="8465" max="8465" width="14.7109375" style="300" bestFit="1" customWidth="1"/>
    <col min="8466" max="8466" width="7" style="300" bestFit="1" customWidth="1"/>
    <col min="8467" max="8467" width="10.7109375" style="300" bestFit="1" customWidth="1"/>
    <col min="8468" max="8468" width="6.28515625" style="300" bestFit="1" customWidth="1"/>
    <col min="8469" max="8469" width="14.42578125" style="300" bestFit="1" customWidth="1"/>
    <col min="8470" max="8470" width="7" style="300" bestFit="1" customWidth="1"/>
    <col min="8471" max="8471" width="20.5703125" style="300" customWidth="1"/>
    <col min="8472" max="8472" width="5.5703125" style="300" bestFit="1" customWidth="1"/>
    <col min="8473" max="8473" width="11.28515625" style="300" customWidth="1"/>
    <col min="8474" max="8478" width="26.7109375" style="300" bestFit="1" customWidth="1"/>
    <col min="8479" max="8479" width="24.85546875" style="300" bestFit="1" customWidth="1"/>
    <col min="8480" max="8480" width="31" style="300" bestFit="1" customWidth="1"/>
    <col min="8481" max="8709" width="11.5703125" style="300"/>
    <col min="8710" max="8710" width="3.42578125" style="300" bestFit="1" customWidth="1"/>
    <col min="8711" max="8711" width="28" style="300" customWidth="1"/>
    <col min="8712" max="8712" width="11.28515625" style="300" customWidth="1"/>
    <col min="8713" max="8713" width="7.42578125" style="300" customWidth="1"/>
    <col min="8714" max="8714" width="13.7109375" style="300" customWidth="1"/>
    <col min="8715" max="8715" width="8.140625" style="300" customWidth="1"/>
    <col min="8716" max="8716" width="1.85546875" style="300" customWidth="1"/>
    <col min="8717" max="8717" width="8.140625" style="300" customWidth="1"/>
    <col min="8718" max="8718" width="13.42578125" style="300" bestFit="1" customWidth="1"/>
    <col min="8719" max="8719" width="4.5703125" style="300" bestFit="1" customWidth="1"/>
    <col min="8720" max="8720" width="26.7109375" style="300" customWidth="1"/>
    <col min="8721" max="8721" width="14.7109375" style="300" bestFit="1" customWidth="1"/>
    <col min="8722" max="8722" width="7" style="300" bestFit="1" customWidth="1"/>
    <col min="8723" max="8723" width="10.7109375" style="300" bestFit="1" customWidth="1"/>
    <col min="8724" max="8724" width="6.28515625" style="300" bestFit="1" customWidth="1"/>
    <col min="8725" max="8725" width="14.42578125" style="300" bestFit="1" customWidth="1"/>
    <col min="8726" max="8726" width="7" style="300" bestFit="1" customWidth="1"/>
    <col min="8727" max="8727" width="20.5703125" style="300" customWidth="1"/>
    <col min="8728" max="8728" width="5.5703125" style="300" bestFit="1" customWidth="1"/>
    <col min="8729" max="8729" width="11.28515625" style="300" customWidth="1"/>
    <col min="8730" max="8734" width="26.7109375" style="300" bestFit="1" customWidth="1"/>
    <col min="8735" max="8735" width="24.85546875" style="300" bestFit="1" customWidth="1"/>
    <col min="8736" max="8736" width="31" style="300" bestFit="1" customWidth="1"/>
    <col min="8737" max="8965" width="11.5703125" style="300"/>
    <col min="8966" max="8966" width="3.42578125" style="300" bestFit="1" customWidth="1"/>
    <col min="8967" max="8967" width="28" style="300" customWidth="1"/>
    <col min="8968" max="8968" width="11.28515625" style="300" customWidth="1"/>
    <col min="8969" max="8969" width="7.42578125" style="300" customWidth="1"/>
    <col min="8970" max="8970" width="13.7109375" style="300" customWidth="1"/>
    <col min="8971" max="8971" width="8.140625" style="300" customWidth="1"/>
    <col min="8972" max="8972" width="1.85546875" style="300" customWidth="1"/>
    <col min="8973" max="8973" width="8.140625" style="300" customWidth="1"/>
    <col min="8974" max="8974" width="13.42578125" style="300" bestFit="1" customWidth="1"/>
    <col min="8975" max="8975" width="4.5703125" style="300" bestFit="1" customWidth="1"/>
    <col min="8976" max="8976" width="26.7109375" style="300" customWidth="1"/>
    <col min="8977" max="8977" width="14.7109375" style="300" bestFit="1" customWidth="1"/>
    <col min="8978" max="8978" width="7" style="300" bestFit="1" customWidth="1"/>
    <col min="8979" max="8979" width="10.7109375" style="300" bestFit="1" customWidth="1"/>
    <col min="8980" max="8980" width="6.28515625" style="300" bestFit="1" customWidth="1"/>
    <col min="8981" max="8981" width="14.42578125" style="300" bestFit="1" customWidth="1"/>
    <col min="8982" max="8982" width="7" style="300" bestFit="1" customWidth="1"/>
    <col min="8983" max="8983" width="20.5703125" style="300" customWidth="1"/>
    <col min="8984" max="8984" width="5.5703125" style="300" bestFit="1" customWidth="1"/>
    <col min="8985" max="8985" width="11.28515625" style="300" customWidth="1"/>
    <col min="8986" max="8990" width="26.7109375" style="300" bestFit="1" customWidth="1"/>
    <col min="8991" max="8991" width="24.85546875" style="300" bestFit="1" customWidth="1"/>
    <col min="8992" max="8992" width="31" style="300" bestFit="1" customWidth="1"/>
    <col min="8993" max="9221" width="11.5703125" style="300"/>
    <col min="9222" max="9222" width="3.42578125" style="300" bestFit="1" customWidth="1"/>
    <col min="9223" max="9223" width="28" style="300" customWidth="1"/>
    <col min="9224" max="9224" width="11.28515625" style="300" customWidth="1"/>
    <col min="9225" max="9225" width="7.42578125" style="300" customWidth="1"/>
    <col min="9226" max="9226" width="13.7109375" style="300" customWidth="1"/>
    <col min="9227" max="9227" width="8.140625" style="300" customWidth="1"/>
    <col min="9228" max="9228" width="1.85546875" style="300" customWidth="1"/>
    <col min="9229" max="9229" width="8.140625" style="300" customWidth="1"/>
    <col min="9230" max="9230" width="13.42578125" style="300" bestFit="1" customWidth="1"/>
    <col min="9231" max="9231" width="4.5703125" style="300" bestFit="1" customWidth="1"/>
    <col min="9232" max="9232" width="26.7109375" style="300" customWidth="1"/>
    <col min="9233" max="9233" width="14.7109375" style="300" bestFit="1" customWidth="1"/>
    <col min="9234" max="9234" width="7" style="300" bestFit="1" customWidth="1"/>
    <col min="9235" max="9235" width="10.7109375" style="300" bestFit="1" customWidth="1"/>
    <col min="9236" max="9236" width="6.28515625" style="300" bestFit="1" customWidth="1"/>
    <col min="9237" max="9237" width="14.42578125" style="300" bestFit="1" customWidth="1"/>
    <col min="9238" max="9238" width="7" style="300" bestFit="1" customWidth="1"/>
    <col min="9239" max="9239" width="20.5703125" style="300" customWidth="1"/>
    <col min="9240" max="9240" width="5.5703125" style="300" bestFit="1" customWidth="1"/>
    <col min="9241" max="9241" width="11.28515625" style="300" customWidth="1"/>
    <col min="9242" max="9246" width="26.7109375" style="300" bestFit="1" customWidth="1"/>
    <col min="9247" max="9247" width="24.85546875" style="300" bestFit="1" customWidth="1"/>
    <col min="9248" max="9248" width="31" style="300" bestFit="1" customWidth="1"/>
    <col min="9249" max="9477" width="11.5703125" style="300"/>
    <col min="9478" max="9478" width="3.42578125" style="300" bestFit="1" customWidth="1"/>
    <col min="9479" max="9479" width="28" style="300" customWidth="1"/>
    <col min="9480" max="9480" width="11.28515625" style="300" customWidth="1"/>
    <col min="9481" max="9481" width="7.42578125" style="300" customWidth="1"/>
    <col min="9482" max="9482" width="13.7109375" style="300" customWidth="1"/>
    <col min="9483" max="9483" width="8.140625" style="300" customWidth="1"/>
    <col min="9484" max="9484" width="1.85546875" style="300" customWidth="1"/>
    <col min="9485" max="9485" width="8.140625" style="300" customWidth="1"/>
    <col min="9486" max="9486" width="13.42578125" style="300" bestFit="1" customWidth="1"/>
    <col min="9487" max="9487" width="4.5703125" style="300" bestFit="1" customWidth="1"/>
    <col min="9488" max="9488" width="26.7109375" style="300" customWidth="1"/>
    <col min="9489" max="9489" width="14.7109375" style="300" bestFit="1" customWidth="1"/>
    <col min="9490" max="9490" width="7" style="300" bestFit="1" customWidth="1"/>
    <col min="9491" max="9491" width="10.7109375" style="300" bestFit="1" customWidth="1"/>
    <col min="9492" max="9492" width="6.28515625" style="300" bestFit="1" customWidth="1"/>
    <col min="9493" max="9493" width="14.42578125" style="300" bestFit="1" customWidth="1"/>
    <col min="9494" max="9494" width="7" style="300" bestFit="1" customWidth="1"/>
    <col min="9495" max="9495" width="20.5703125" style="300" customWidth="1"/>
    <col min="9496" max="9496" width="5.5703125" style="300" bestFit="1" customWidth="1"/>
    <col min="9497" max="9497" width="11.28515625" style="300" customWidth="1"/>
    <col min="9498" max="9502" width="26.7109375" style="300" bestFit="1" customWidth="1"/>
    <col min="9503" max="9503" width="24.85546875" style="300" bestFit="1" customWidth="1"/>
    <col min="9504" max="9504" width="31" style="300" bestFit="1" customWidth="1"/>
    <col min="9505" max="9733" width="11.5703125" style="300"/>
    <col min="9734" max="9734" width="3.42578125" style="300" bestFit="1" customWidth="1"/>
    <col min="9735" max="9735" width="28" style="300" customWidth="1"/>
    <col min="9736" max="9736" width="11.28515625" style="300" customWidth="1"/>
    <col min="9737" max="9737" width="7.42578125" style="300" customWidth="1"/>
    <col min="9738" max="9738" width="13.7109375" style="300" customWidth="1"/>
    <col min="9739" max="9739" width="8.140625" style="300" customWidth="1"/>
    <col min="9740" max="9740" width="1.85546875" style="300" customWidth="1"/>
    <col min="9741" max="9741" width="8.140625" style="300" customWidth="1"/>
    <col min="9742" max="9742" width="13.42578125" style="300" bestFit="1" customWidth="1"/>
    <col min="9743" max="9743" width="4.5703125" style="300" bestFit="1" customWidth="1"/>
    <col min="9744" max="9744" width="26.7109375" style="300" customWidth="1"/>
    <col min="9745" max="9745" width="14.7109375" style="300" bestFit="1" customWidth="1"/>
    <col min="9746" max="9746" width="7" style="300" bestFit="1" customWidth="1"/>
    <col min="9747" max="9747" width="10.7109375" style="300" bestFit="1" customWidth="1"/>
    <col min="9748" max="9748" width="6.28515625" style="300" bestFit="1" customWidth="1"/>
    <col min="9749" max="9749" width="14.42578125" style="300" bestFit="1" customWidth="1"/>
    <col min="9750" max="9750" width="7" style="300" bestFit="1" customWidth="1"/>
    <col min="9751" max="9751" width="20.5703125" style="300" customWidth="1"/>
    <col min="9752" max="9752" width="5.5703125" style="300" bestFit="1" customWidth="1"/>
    <col min="9753" max="9753" width="11.28515625" style="300" customWidth="1"/>
    <col min="9754" max="9758" width="26.7109375" style="300" bestFit="1" customWidth="1"/>
    <col min="9759" max="9759" width="24.85546875" style="300" bestFit="1" customWidth="1"/>
    <col min="9760" max="9760" width="31" style="300" bestFit="1" customWidth="1"/>
    <col min="9761" max="9989" width="11.5703125" style="300"/>
    <col min="9990" max="9990" width="3.42578125" style="300" bestFit="1" customWidth="1"/>
    <col min="9991" max="9991" width="28" style="300" customWidth="1"/>
    <col min="9992" max="9992" width="11.28515625" style="300" customWidth="1"/>
    <col min="9993" max="9993" width="7.42578125" style="300" customWidth="1"/>
    <col min="9994" max="9994" width="13.7109375" style="300" customWidth="1"/>
    <col min="9995" max="9995" width="8.140625" style="300" customWidth="1"/>
    <col min="9996" max="9996" width="1.85546875" style="300" customWidth="1"/>
    <col min="9997" max="9997" width="8.140625" style="300" customWidth="1"/>
    <col min="9998" max="9998" width="13.42578125" style="300" bestFit="1" customWidth="1"/>
    <col min="9999" max="9999" width="4.5703125" style="300" bestFit="1" customWidth="1"/>
    <col min="10000" max="10000" width="26.7109375" style="300" customWidth="1"/>
    <col min="10001" max="10001" width="14.7109375" style="300" bestFit="1" customWidth="1"/>
    <col min="10002" max="10002" width="7" style="300" bestFit="1" customWidth="1"/>
    <col min="10003" max="10003" width="10.7109375" style="300" bestFit="1" customWidth="1"/>
    <col min="10004" max="10004" width="6.28515625" style="300" bestFit="1" customWidth="1"/>
    <col min="10005" max="10005" width="14.42578125" style="300" bestFit="1" customWidth="1"/>
    <col min="10006" max="10006" width="7" style="300" bestFit="1" customWidth="1"/>
    <col min="10007" max="10007" width="20.5703125" style="300" customWidth="1"/>
    <col min="10008" max="10008" width="5.5703125" style="300" bestFit="1" customWidth="1"/>
    <col min="10009" max="10009" width="11.28515625" style="300" customWidth="1"/>
    <col min="10010" max="10014" width="26.7109375" style="300" bestFit="1" customWidth="1"/>
    <col min="10015" max="10015" width="24.85546875" style="300" bestFit="1" customWidth="1"/>
    <col min="10016" max="10016" width="31" style="300" bestFit="1" customWidth="1"/>
    <col min="10017" max="10245" width="11.5703125" style="300"/>
    <col min="10246" max="10246" width="3.42578125" style="300" bestFit="1" customWidth="1"/>
    <col min="10247" max="10247" width="28" style="300" customWidth="1"/>
    <col min="10248" max="10248" width="11.28515625" style="300" customWidth="1"/>
    <col min="10249" max="10249" width="7.42578125" style="300" customWidth="1"/>
    <col min="10250" max="10250" width="13.7109375" style="300" customWidth="1"/>
    <col min="10251" max="10251" width="8.140625" style="300" customWidth="1"/>
    <col min="10252" max="10252" width="1.85546875" style="300" customWidth="1"/>
    <col min="10253" max="10253" width="8.140625" style="300" customWidth="1"/>
    <col min="10254" max="10254" width="13.42578125" style="300" bestFit="1" customWidth="1"/>
    <col min="10255" max="10255" width="4.5703125" style="300" bestFit="1" customWidth="1"/>
    <col min="10256" max="10256" width="26.7109375" style="300" customWidth="1"/>
    <col min="10257" max="10257" width="14.7109375" style="300" bestFit="1" customWidth="1"/>
    <col min="10258" max="10258" width="7" style="300" bestFit="1" customWidth="1"/>
    <col min="10259" max="10259" width="10.7109375" style="300" bestFit="1" customWidth="1"/>
    <col min="10260" max="10260" width="6.28515625" style="300" bestFit="1" customWidth="1"/>
    <col min="10261" max="10261" width="14.42578125" style="300" bestFit="1" customWidth="1"/>
    <col min="10262" max="10262" width="7" style="300" bestFit="1" customWidth="1"/>
    <col min="10263" max="10263" width="20.5703125" style="300" customWidth="1"/>
    <col min="10264" max="10264" width="5.5703125" style="300" bestFit="1" customWidth="1"/>
    <col min="10265" max="10265" width="11.28515625" style="300" customWidth="1"/>
    <col min="10266" max="10270" width="26.7109375" style="300" bestFit="1" customWidth="1"/>
    <col min="10271" max="10271" width="24.85546875" style="300" bestFit="1" customWidth="1"/>
    <col min="10272" max="10272" width="31" style="300" bestFit="1" customWidth="1"/>
    <col min="10273" max="10501" width="11.5703125" style="300"/>
    <col min="10502" max="10502" width="3.42578125" style="300" bestFit="1" customWidth="1"/>
    <col min="10503" max="10503" width="28" style="300" customWidth="1"/>
    <col min="10504" max="10504" width="11.28515625" style="300" customWidth="1"/>
    <col min="10505" max="10505" width="7.42578125" style="300" customWidth="1"/>
    <col min="10506" max="10506" width="13.7109375" style="300" customWidth="1"/>
    <col min="10507" max="10507" width="8.140625" style="300" customWidth="1"/>
    <col min="10508" max="10508" width="1.85546875" style="300" customWidth="1"/>
    <col min="10509" max="10509" width="8.140625" style="300" customWidth="1"/>
    <col min="10510" max="10510" width="13.42578125" style="300" bestFit="1" customWidth="1"/>
    <col min="10511" max="10511" width="4.5703125" style="300" bestFit="1" customWidth="1"/>
    <col min="10512" max="10512" width="26.7109375" style="300" customWidth="1"/>
    <col min="10513" max="10513" width="14.7109375" style="300" bestFit="1" customWidth="1"/>
    <col min="10514" max="10514" width="7" style="300" bestFit="1" customWidth="1"/>
    <col min="10515" max="10515" width="10.7109375" style="300" bestFit="1" customWidth="1"/>
    <col min="10516" max="10516" width="6.28515625" style="300" bestFit="1" customWidth="1"/>
    <col min="10517" max="10517" width="14.42578125" style="300" bestFit="1" customWidth="1"/>
    <col min="10518" max="10518" width="7" style="300" bestFit="1" customWidth="1"/>
    <col min="10519" max="10519" width="20.5703125" style="300" customWidth="1"/>
    <col min="10520" max="10520" width="5.5703125" style="300" bestFit="1" customWidth="1"/>
    <col min="10521" max="10521" width="11.28515625" style="300" customWidth="1"/>
    <col min="10522" max="10526" width="26.7109375" style="300" bestFit="1" customWidth="1"/>
    <col min="10527" max="10527" width="24.85546875" style="300" bestFit="1" customWidth="1"/>
    <col min="10528" max="10528" width="31" style="300" bestFit="1" customWidth="1"/>
    <col min="10529" max="10757" width="11.5703125" style="300"/>
    <col min="10758" max="10758" width="3.42578125" style="300" bestFit="1" customWidth="1"/>
    <col min="10759" max="10759" width="28" style="300" customWidth="1"/>
    <col min="10760" max="10760" width="11.28515625" style="300" customWidth="1"/>
    <col min="10761" max="10761" width="7.42578125" style="300" customWidth="1"/>
    <col min="10762" max="10762" width="13.7109375" style="300" customWidth="1"/>
    <col min="10763" max="10763" width="8.140625" style="300" customWidth="1"/>
    <col min="10764" max="10764" width="1.85546875" style="300" customWidth="1"/>
    <col min="10765" max="10765" width="8.140625" style="300" customWidth="1"/>
    <col min="10766" max="10766" width="13.42578125" style="300" bestFit="1" customWidth="1"/>
    <col min="10767" max="10767" width="4.5703125" style="300" bestFit="1" customWidth="1"/>
    <col min="10768" max="10768" width="26.7109375" style="300" customWidth="1"/>
    <col min="10769" max="10769" width="14.7109375" style="300" bestFit="1" customWidth="1"/>
    <col min="10770" max="10770" width="7" style="300" bestFit="1" customWidth="1"/>
    <col min="10771" max="10771" width="10.7109375" style="300" bestFit="1" customWidth="1"/>
    <col min="10772" max="10772" width="6.28515625" style="300" bestFit="1" customWidth="1"/>
    <col min="10773" max="10773" width="14.42578125" style="300" bestFit="1" customWidth="1"/>
    <col min="10774" max="10774" width="7" style="300" bestFit="1" customWidth="1"/>
    <col min="10775" max="10775" width="20.5703125" style="300" customWidth="1"/>
    <col min="10776" max="10776" width="5.5703125" style="300" bestFit="1" customWidth="1"/>
    <col min="10777" max="10777" width="11.28515625" style="300" customWidth="1"/>
    <col min="10778" max="10782" width="26.7109375" style="300" bestFit="1" customWidth="1"/>
    <col min="10783" max="10783" width="24.85546875" style="300" bestFit="1" customWidth="1"/>
    <col min="10784" max="10784" width="31" style="300" bestFit="1" customWidth="1"/>
    <col min="10785" max="11013" width="11.5703125" style="300"/>
    <col min="11014" max="11014" width="3.42578125" style="300" bestFit="1" customWidth="1"/>
    <col min="11015" max="11015" width="28" style="300" customWidth="1"/>
    <col min="11016" max="11016" width="11.28515625" style="300" customWidth="1"/>
    <col min="11017" max="11017" width="7.42578125" style="300" customWidth="1"/>
    <col min="11018" max="11018" width="13.7109375" style="300" customWidth="1"/>
    <col min="11019" max="11019" width="8.140625" style="300" customWidth="1"/>
    <col min="11020" max="11020" width="1.85546875" style="300" customWidth="1"/>
    <col min="11021" max="11021" width="8.140625" style="300" customWidth="1"/>
    <col min="11022" max="11022" width="13.42578125" style="300" bestFit="1" customWidth="1"/>
    <col min="11023" max="11023" width="4.5703125" style="300" bestFit="1" customWidth="1"/>
    <col min="11024" max="11024" width="26.7109375" style="300" customWidth="1"/>
    <col min="11025" max="11025" width="14.7109375" style="300" bestFit="1" customWidth="1"/>
    <col min="11026" max="11026" width="7" style="300" bestFit="1" customWidth="1"/>
    <col min="11027" max="11027" width="10.7109375" style="300" bestFit="1" customWidth="1"/>
    <col min="11028" max="11028" width="6.28515625" style="300" bestFit="1" customWidth="1"/>
    <col min="11029" max="11029" width="14.42578125" style="300" bestFit="1" customWidth="1"/>
    <col min="11030" max="11030" width="7" style="300" bestFit="1" customWidth="1"/>
    <col min="11031" max="11031" width="20.5703125" style="300" customWidth="1"/>
    <col min="11032" max="11032" width="5.5703125" style="300" bestFit="1" customWidth="1"/>
    <col min="11033" max="11033" width="11.28515625" style="300" customWidth="1"/>
    <col min="11034" max="11038" width="26.7109375" style="300" bestFit="1" customWidth="1"/>
    <col min="11039" max="11039" width="24.85546875" style="300" bestFit="1" customWidth="1"/>
    <col min="11040" max="11040" width="31" style="300" bestFit="1" customWidth="1"/>
    <col min="11041" max="11269" width="11.5703125" style="300"/>
    <col min="11270" max="11270" width="3.42578125" style="300" bestFit="1" customWidth="1"/>
    <col min="11271" max="11271" width="28" style="300" customWidth="1"/>
    <col min="11272" max="11272" width="11.28515625" style="300" customWidth="1"/>
    <col min="11273" max="11273" width="7.42578125" style="300" customWidth="1"/>
    <col min="11274" max="11274" width="13.7109375" style="300" customWidth="1"/>
    <col min="11275" max="11275" width="8.140625" style="300" customWidth="1"/>
    <col min="11276" max="11276" width="1.85546875" style="300" customWidth="1"/>
    <col min="11277" max="11277" width="8.140625" style="300" customWidth="1"/>
    <col min="11278" max="11278" width="13.42578125" style="300" bestFit="1" customWidth="1"/>
    <col min="11279" max="11279" width="4.5703125" style="300" bestFit="1" customWidth="1"/>
    <col min="11280" max="11280" width="26.7109375" style="300" customWidth="1"/>
    <col min="11281" max="11281" width="14.7109375" style="300" bestFit="1" customWidth="1"/>
    <col min="11282" max="11282" width="7" style="300" bestFit="1" customWidth="1"/>
    <col min="11283" max="11283" width="10.7109375" style="300" bestFit="1" customWidth="1"/>
    <col min="11284" max="11284" width="6.28515625" style="300" bestFit="1" customWidth="1"/>
    <col min="11285" max="11285" width="14.42578125" style="300" bestFit="1" customWidth="1"/>
    <col min="11286" max="11286" width="7" style="300" bestFit="1" customWidth="1"/>
    <col min="11287" max="11287" width="20.5703125" style="300" customWidth="1"/>
    <col min="11288" max="11288" width="5.5703125" style="300" bestFit="1" customWidth="1"/>
    <col min="11289" max="11289" width="11.28515625" style="300" customWidth="1"/>
    <col min="11290" max="11294" width="26.7109375" style="300" bestFit="1" customWidth="1"/>
    <col min="11295" max="11295" width="24.85546875" style="300" bestFit="1" customWidth="1"/>
    <col min="11296" max="11296" width="31" style="300" bestFit="1" customWidth="1"/>
    <col min="11297" max="11525" width="11.5703125" style="300"/>
    <col min="11526" max="11526" width="3.42578125" style="300" bestFit="1" customWidth="1"/>
    <col min="11527" max="11527" width="28" style="300" customWidth="1"/>
    <col min="11528" max="11528" width="11.28515625" style="300" customWidth="1"/>
    <col min="11529" max="11529" width="7.42578125" style="300" customWidth="1"/>
    <col min="11530" max="11530" width="13.7109375" style="300" customWidth="1"/>
    <col min="11531" max="11531" width="8.140625" style="300" customWidth="1"/>
    <col min="11532" max="11532" width="1.85546875" style="300" customWidth="1"/>
    <col min="11533" max="11533" width="8.140625" style="300" customWidth="1"/>
    <col min="11534" max="11534" width="13.42578125" style="300" bestFit="1" customWidth="1"/>
    <col min="11535" max="11535" width="4.5703125" style="300" bestFit="1" customWidth="1"/>
    <col min="11536" max="11536" width="26.7109375" style="300" customWidth="1"/>
    <col min="11537" max="11537" width="14.7109375" style="300" bestFit="1" customWidth="1"/>
    <col min="11538" max="11538" width="7" style="300" bestFit="1" customWidth="1"/>
    <col min="11539" max="11539" width="10.7109375" style="300" bestFit="1" customWidth="1"/>
    <col min="11540" max="11540" width="6.28515625" style="300" bestFit="1" customWidth="1"/>
    <col min="11541" max="11541" width="14.42578125" style="300" bestFit="1" customWidth="1"/>
    <col min="11542" max="11542" width="7" style="300" bestFit="1" customWidth="1"/>
    <col min="11543" max="11543" width="20.5703125" style="300" customWidth="1"/>
    <col min="11544" max="11544" width="5.5703125" style="300" bestFit="1" customWidth="1"/>
    <col min="11545" max="11545" width="11.28515625" style="300" customWidth="1"/>
    <col min="11546" max="11550" width="26.7109375" style="300" bestFit="1" customWidth="1"/>
    <col min="11551" max="11551" width="24.85546875" style="300" bestFit="1" customWidth="1"/>
    <col min="11552" max="11552" width="31" style="300" bestFit="1" customWidth="1"/>
    <col min="11553" max="11781" width="11.5703125" style="300"/>
    <col min="11782" max="11782" width="3.42578125" style="300" bestFit="1" customWidth="1"/>
    <col min="11783" max="11783" width="28" style="300" customWidth="1"/>
    <col min="11784" max="11784" width="11.28515625" style="300" customWidth="1"/>
    <col min="11785" max="11785" width="7.42578125" style="300" customWidth="1"/>
    <col min="11786" max="11786" width="13.7109375" style="300" customWidth="1"/>
    <col min="11787" max="11787" width="8.140625" style="300" customWidth="1"/>
    <col min="11788" max="11788" width="1.85546875" style="300" customWidth="1"/>
    <col min="11789" max="11789" width="8.140625" style="300" customWidth="1"/>
    <col min="11790" max="11790" width="13.42578125" style="300" bestFit="1" customWidth="1"/>
    <col min="11791" max="11791" width="4.5703125" style="300" bestFit="1" customWidth="1"/>
    <col min="11792" max="11792" width="26.7109375" style="300" customWidth="1"/>
    <col min="11793" max="11793" width="14.7109375" style="300" bestFit="1" customWidth="1"/>
    <col min="11794" max="11794" width="7" style="300" bestFit="1" customWidth="1"/>
    <col min="11795" max="11795" width="10.7109375" style="300" bestFit="1" customWidth="1"/>
    <col min="11796" max="11796" width="6.28515625" style="300" bestFit="1" customWidth="1"/>
    <col min="11797" max="11797" width="14.42578125" style="300" bestFit="1" customWidth="1"/>
    <col min="11798" max="11798" width="7" style="300" bestFit="1" customWidth="1"/>
    <col min="11799" max="11799" width="20.5703125" style="300" customWidth="1"/>
    <col min="11800" max="11800" width="5.5703125" style="300" bestFit="1" customWidth="1"/>
    <col min="11801" max="11801" width="11.28515625" style="300" customWidth="1"/>
    <col min="11802" max="11806" width="26.7109375" style="300" bestFit="1" customWidth="1"/>
    <col min="11807" max="11807" width="24.85546875" style="300" bestFit="1" customWidth="1"/>
    <col min="11808" max="11808" width="31" style="300" bestFit="1" customWidth="1"/>
    <col min="11809" max="12037" width="11.5703125" style="300"/>
    <col min="12038" max="12038" width="3.42578125" style="300" bestFit="1" customWidth="1"/>
    <col min="12039" max="12039" width="28" style="300" customWidth="1"/>
    <col min="12040" max="12040" width="11.28515625" style="300" customWidth="1"/>
    <col min="12041" max="12041" width="7.42578125" style="300" customWidth="1"/>
    <col min="12042" max="12042" width="13.7109375" style="300" customWidth="1"/>
    <col min="12043" max="12043" width="8.140625" style="300" customWidth="1"/>
    <col min="12044" max="12044" width="1.85546875" style="300" customWidth="1"/>
    <col min="12045" max="12045" width="8.140625" style="300" customWidth="1"/>
    <col min="12046" max="12046" width="13.42578125" style="300" bestFit="1" customWidth="1"/>
    <col min="12047" max="12047" width="4.5703125" style="300" bestFit="1" customWidth="1"/>
    <col min="12048" max="12048" width="26.7109375" style="300" customWidth="1"/>
    <col min="12049" max="12049" width="14.7109375" style="300" bestFit="1" customWidth="1"/>
    <col min="12050" max="12050" width="7" style="300" bestFit="1" customWidth="1"/>
    <col min="12051" max="12051" width="10.7109375" style="300" bestFit="1" customWidth="1"/>
    <col min="12052" max="12052" width="6.28515625" style="300" bestFit="1" customWidth="1"/>
    <col min="12053" max="12053" width="14.42578125" style="300" bestFit="1" customWidth="1"/>
    <col min="12054" max="12054" width="7" style="300" bestFit="1" customWidth="1"/>
    <col min="12055" max="12055" width="20.5703125" style="300" customWidth="1"/>
    <col min="12056" max="12056" width="5.5703125" style="300" bestFit="1" customWidth="1"/>
    <col min="12057" max="12057" width="11.28515625" style="300" customWidth="1"/>
    <col min="12058" max="12062" width="26.7109375" style="300" bestFit="1" customWidth="1"/>
    <col min="12063" max="12063" width="24.85546875" style="300" bestFit="1" customWidth="1"/>
    <col min="12064" max="12064" width="31" style="300" bestFit="1" customWidth="1"/>
    <col min="12065" max="12293" width="11.5703125" style="300"/>
    <col min="12294" max="12294" width="3.42578125" style="300" bestFit="1" customWidth="1"/>
    <col min="12295" max="12295" width="28" style="300" customWidth="1"/>
    <col min="12296" max="12296" width="11.28515625" style="300" customWidth="1"/>
    <col min="12297" max="12297" width="7.42578125" style="300" customWidth="1"/>
    <col min="12298" max="12298" width="13.7109375" style="300" customWidth="1"/>
    <col min="12299" max="12299" width="8.140625" style="300" customWidth="1"/>
    <col min="12300" max="12300" width="1.85546875" style="300" customWidth="1"/>
    <col min="12301" max="12301" width="8.140625" style="300" customWidth="1"/>
    <col min="12302" max="12302" width="13.42578125" style="300" bestFit="1" customWidth="1"/>
    <col min="12303" max="12303" width="4.5703125" style="300" bestFit="1" customWidth="1"/>
    <col min="12304" max="12304" width="26.7109375" style="300" customWidth="1"/>
    <col min="12305" max="12305" width="14.7109375" style="300" bestFit="1" customWidth="1"/>
    <col min="12306" max="12306" width="7" style="300" bestFit="1" customWidth="1"/>
    <col min="12307" max="12307" width="10.7109375" style="300" bestFit="1" customWidth="1"/>
    <col min="12308" max="12308" width="6.28515625" style="300" bestFit="1" customWidth="1"/>
    <col min="12309" max="12309" width="14.42578125" style="300" bestFit="1" customWidth="1"/>
    <col min="12310" max="12310" width="7" style="300" bestFit="1" customWidth="1"/>
    <col min="12311" max="12311" width="20.5703125" style="300" customWidth="1"/>
    <col min="12312" max="12312" width="5.5703125" style="300" bestFit="1" customWidth="1"/>
    <col min="12313" max="12313" width="11.28515625" style="300" customWidth="1"/>
    <col min="12314" max="12318" width="26.7109375" style="300" bestFit="1" customWidth="1"/>
    <col min="12319" max="12319" width="24.85546875" style="300" bestFit="1" customWidth="1"/>
    <col min="12320" max="12320" width="31" style="300" bestFit="1" customWidth="1"/>
    <col min="12321" max="12549" width="11.5703125" style="300"/>
    <col min="12550" max="12550" width="3.42578125" style="300" bestFit="1" customWidth="1"/>
    <col min="12551" max="12551" width="28" style="300" customWidth="1"/>
    <col min="12552" max="12552" width="11.28515625" style="300" customWidth="1"/>
    <col min="12553" max="12553" width="7.42578125" style="300" customWidth="1"/>
    <col min="12554" max="12554" width="13.7109375" style="300" customWidth="1"/>
    <col min="12555" max="12555" width="8.140625" style="300" customWidth="1"/>
    <col min="12556" max="12556" width="1.85546875" style="300" customWidth="1"/>
    <col min="12557" max="12557" width="8.140625" style="300" customWidth="1"/>
    <col min="12558" max="12558" width="13.42578125" style="300" bestFit="1" customWidth="1"/>
    <col min="12559" max="12559" width="4.5703125" style="300" bestFit="1" customWidth="1"/>
    <col min="12560" max="12560" width="26.7109375" style="300" customWidth="1"/>
    <col min="12561" max="12561" width="14.7109375" style="300" bestFit="1" customWidth="1"/>
    <col min="12562" max="12562" width="7" style="300" bestFit="1" customWidth="1"/>
    <col min="12563" max="12563" width="10.7109375" style="300" bestFit="1" customWidth="1"/>
    <col min="12564" max="12564" width="6.28515625" style="300" bestFit="1" customWidth="1"/>
    <col min="12565" max="12565" width="14.42578125" style="300" bestFit="1" customWidth="1"/>
    <col min="12566" max="12566" width="7" style="300" bestFit="1" customWidth="1"/>
    <col min="12567" max="12567" width="20.5703125" style="300" customWidth="1"/>
    <col min="12568" max="12568" width="5.5703125" style="300" bestFit="1" customWidth="1"/>
    <col min="12569" max="12569" width="11.28515625" style="300" customWidth="1"/>
    <col min="12570" max="12574" width="26.7109375" style="300" bestFit="1" customWidth="1"/>
    <col min="12575" max="12575" width="24.85546875" style="300" bestFit="1" customWidth="1"/>
    <col min="12576" max="12576" width="31" style="300" bestFit="1" customWidth="1"/>
    <col min="12577" max="12805" width="11.5703125" style="300"/>
    <col min="12806" max="12806" width="3.42578125" style="300" bestFit="1" customWidth="1"/>
    <col min="12807" max="12807" width="28" style="300" customWidth="1"/>
    <col min="12808" max="12808" width="11.28515625" style="300" customWidth="1"/>
    <col min="12809" max="12809" width="7.42578125" style="300" customWidth="1"/>
    <col min="12810" max="12810" width="13.7109375" style="300" customWidth="1"/>
    <col min="12811" max="12811" width="8.140625" style="300" customWidth="1"/>
    <col min="12812" max="12812" width="1.85546875" style="300" customWidth="1"/>
    <col min="12813" max="12813" width="8.140625" style="300" customWidth="1"/>
    <col min="12814" max="12814" width="13.42578125" style="300" bestFit="1" customWidth="1"/>
    <col min="12815" max="12815" width="4.5703125" style="300" bestFit="1" customWidth="1"/>
    <col min="12816" max="12816" width="26.7109375" style="300" customWidth="1"/>
    <col min="12817" max="12817" width="14.7109375" style="300" bestFit="1" customWidth="1"/>
    <col min="12818" max="12818" width="7" style="300" bestFit="1" customWidth="1"/>
    <col min="12819" max="12819" width="10.7109375" style="300" bestFit="1" customWidth="1"/>
    <col min="12820" max="12820" width="6.28515625" style="300" bestFit="1" customWidth="1"/>
    <col min="12821" max="12821" width="14.42578125" style="300" bestFit="1" customWidth="1"/>
    <col min="12822" max="12822" width="7" style="300" bestFit="1" customWidth="1"/>
    <col min="12823" max="12823" width="20.5703125" style="300" customWidth="1"/>
    <col min="12824" max="12824" width="5.5703125" style="300" bestFit="1" customWidth="1"/>
    <col min="12825" max="12825" width="11.28515625" style="300" customWidth="1"/>
    <col min="12826" max="12830" width="26.7109375" style="300" bestFit="1" customWidth="1"/>
    <col min="12831" max="12831" width="24.85546875" style="300" bestFit="1" customWidth="1"/>
    <col min="12832" max="12832" width="31" style="300" bestFit="1" customWidth="1"/>
    <col min="12833" max="13061" width="11.5703125" style="300"/>
    <col min="13062" max="13062" width="3.42578125" style="300" bestFit="1" customWidth="1"/>
    <col min="13063" max="13063" width="28" style="300" customWidth="1"/>
    <col min="13064" max="13064" width="11.28515625" style="300" customWidth="1"/>
    <col min="13065" max="13065" width="7.42578125" style="300" customWidth="1"/>
    <col min="13066" max="13066" width="13.7109375" style="300" customWidth="1"/>
    <col min="13067" max="13067" width="8.140625" style="300" customWidth="1"/>
    <col min="13068" max="13068" width="1.85546875" style="300" customWidth="1"/>
    <col min="13069" max="13069" width="8.140625" style="300" customWidth="1"/>
    <col min="13070" max="13070" width="13.42578125" style="300" bestFit="1" customWidth="1"/>
    <col min="13071" max="13071" width="4.5703125" style="300" bestFit="1" customWidth="1"/>
    <col min="13072" max="13072" width="26.7109375" style="300" customWidth="1"/>
    <col min="13073" max="13073" width="14.7109375" style="300" bestFit="1" customWidth="1"/>
    <col min="13074" max="13074" width="7" style="300" bestFit="1" customWidth="1"/>
    <col min="13075" max="13075" width="10.7109375" style="300" bestFit="1" customWidth="1"/>
    <col min="13076" max="13076" width="6.28515625" style="300" bestFit="1" customWidth="1"/>
    <col min="13077" max="13077" width="14.42578125" style="300" bestFit="1" customWidth="1"/>
    <col min="13078" max="13078" width="7" style="300" bestFit="1" customWidth="1"/>
    <col min="13079" max="13079" width="20.5703125" style="300" customWidth="1"/>
    <col min="13080" max="13080" width="5.5703125" style="300" bestFit="1" customWidth="1"/>
    <col min="13081" max="13081" width="11.28515625" style="300" customWidth="1"/>
    <col min="13082" max="13086" width="26.7109375" style="300" bestFit="1" customWidth="1"/>
    <col min="13087" max="13087" width="24.85546875" style="300" bestFit="1" customWidth="1"/>
    <col min="13088" max="13088" width="31" style="300" bestFit="1" customWidth="1"/>
    <col min="13089" max="13317" width="11.5703125" style="300"/>
    <col min="13318" max="13318" width="3.42578125" style="300" bestFit="1" customWidth="1"/>
    <col min="13319" max="13319" width="28" style="300" customWidth="1"/>
    <col min="13320" max="13320" width="11.28515625" style="300" customWidth="1"/>
    <col min="13321" max="13321" width="7.42578125" style="300" customWidth="1"/>
    <col min="13322" max="13322" width="13.7109375" style="300" customWidth="1"/>
    <col min="13323" max="13323" width="8.140625" style="300" customWidth="1"/>
    <col min="13324" max="13324" width="1.85546875" style="300" customWidth="1"/>
    <col min="13325" max="13325" width="8.140625" style="300" customWidth="1"/>
    <col min="13326" max="13326" width="13.42578125" style="300" bestFit="1" customWidth="1"/>
    <col min="13327" max="13327" width="4.5703125" style="300" bestFit="1" customWidth="1"/>
    <col min="13328" max="13328" width="26.7109375" style="300" customWidth="1"/>
    <col min="13329" max="13329" width="14.7109375" style="300" bestFit="1" customWidth="1"/>
    <col min="13330" max="13330" width="7" style="300" bestFit="1" customWidth="1"/>
    <col min="13331" max="13331" width="10.7109375" style="300" bestFit="1" customWidth="1"/>
    <col min="13332" max="13332" width="6.28515625" style="300" bestFit="1" customWidth="1"/>
    <col min="13333" max="13333" width="14.42578125" style="300" bestFit="1" customWidth="1"/>
    <col min="13334" max="13334" width="7" style="300" bestFit="1" customWidth="1"/>
    <col min="13335" max="13335" width="20.5703125" style="300" customWidth="1"/>
    <col min="13336" max="13336" width="5.5703125" style="300" bestFit="1" customWidth="1"/>
    <col min="13337" max="13337" width="11.28515625" style="300" customWidth="1"/>
    <col min="13338" max="13342" width="26.7109375" style="300" bestFit="1" customWidth="1"/>
    <col min="13343" max="13343" width="24.85546875" style="300" bestFit="1" customWidth="1"/>
    <col min="13344" max="13344" width="31" style="300" bestFit="1" customWidth="1"/>
    <col min="13345" max="13573" width="11.5703125" style="300"/>
    <col min="13574" max="13574" width="3.42578125" style="300" bestFit="1" customWidth="1"/>
    <col min="13575" max="13575" width="28" style="300" customWidth="1"/>
    <col min="13576" max="13576" width="11.28515625" style="300" customWidth="1"/>
    <col min="13577" max="13577" width="7.42578125" style="300" customWidth="1"/>
    <col min="13578" max="13578" width="13.7109375" style="300" customWidth="1"/>
    <col min="13579" max="13579" width="8.140625" style="300" customWidth="1"/>
    <col min="13580" max="13580" width="1.85546875" style="300" customWidth="1"/>
    <col min="13581" max="13581" width="8.140625" style="300" customWidth="1"/>
    <col min="13582" max="13582" width="13.42578125" style="300" bestFit="1" customWidth="1"/>
    <col min="13583" max="13583" width="4.5703125" style="300" bestFit="1" customWidth="1"/>
    <col min="13584" max="13584" width="26.7109375" style="300" customWidth="1"/>
    <col min="13585" max="13585" width="14.7109375" style="300" bestFit="1" customWidth="1"/>
    <col min="13586" max="13586" width="7" style="300" bestFit="1" customWidth="1"/>
    <col min="13587" max="13587" width="10.7109375" style="300" bestFit="1" customWidth="1"/>
    <col min="13588" max="13588" width="6.28515625" style="300" bestFit="1" customWidth="1"/>
    <col min="13589" max="13589" width="14.42578125" style="300" bestFit="1" customWidth="1"/>
    <col min="13590" max="13590" width="7" style="300" bestFit="1" customWidth="1"/>
    <col min="13591" max="13591" width="20.5703125" style="300" customWidth="1"/>
    <col min="13592" max="13592" width="5.5703125" style="300" bestFit="1" customWidth="1"/>
    <col min="13593" max="13593" width="11.28515625" style="300" customWidth="1"/>
    <col min="13594" max="13598" width="26.7109375" style="300" bestFit="1" customWidth="1"/>
    <col min="13599" max="13599" width="24.85546875" style="300" bestFit="1" customWidth="1"/>
    <col min="13600" max="13600" width="31" style="300" bestFit="1" customWidth="1"/>
    <col min="13601" max="13829" width="11.5703125" style="300"/>
    <col min="13830" max="13830" width="3.42578125" style="300" bestFit="1" customWidth="1"/>
    <col min="13831" max="13831" width="28" style="300" customWidth="1"/>
    <col min="13832" max="13832" width="11.28515625" style="300" customWidth="1"/>
    <col min="13833" max="13833" width="7.42578125" style="300" customWidth="1"/>
    <col min="13834" max="13834" width="13.7109375" style="300" customWidth="1"/>
    <col min="13835" max="13835" width="8.140625" style="300" customWidth="1"/>
    <col min="13836" max="13836" width="1.85546875" style="300" customWidth="1"/>
    <col min="13837" max="13837" width="8.140625" style="300" customWidth="1"/>
    <col min="13838" max="13838" width="13.42578125" style="300" bestFit="1" customWidth="1"/>
    <col min="13839" max="13839" width="4.5703125" style="300" bestFit="1" customWidth="1"/>
    <col min="13840" max="13840" width="26.7109375" style="300" customWidth="1"/>
    <col min="13841" max="13841" width="14.7109375" style="300" bestFit="1" customWidth="1"/>
    <col min="13842" max="13842" width="7" style="300" bestFit="1" customWidth="1"/>
    <col min="13843" max="13843" width="10.7109375" style="300" bestFit="1" customWidth="1"/>
    <col min="13844" max="13844" width="6.28515625" style="300" bestFit="1" customWidth="1"/>
    <col min="13845" max="13845" width="14.42578125" style="300" bestFit="1" customWidth="1"/>
    <col min="13846" max="13846" width="7" style="300" bestFit="1" customWidth="1"/>
    <col min="13847" max="13847" width="20.5703125" style="300" customWidth="1"/>
    <col min="13848" max="13848" width="5.5703125" style="300" bestFit="1" customWidth="1"/>
    <col min="13849" max="13849" width="11.28515625" style="300" customWidth="1"/>
    <col min="13850" max="13854" width="26.7109375" style="300" bestFit="1" customWidth="1"/>
    <col min="13855" max="13855" width="24.85546875" style="300" bestFit="1" customWidth="1"/>
    <col min="13856" max="13856" width="31" style="300" bestFit="1" customWidth="1"/>
    <col min="13857" max="14085" width="11.5703125" style="300"/>
    <col min="14086" max="14086" width="3.42578125" style="300" bestFit="1" customWidth="1"/>
    <col min="14087" max="14087" width="28" style="300" customWidth="1"/>
    <col min="14088" max="14088" width="11.28515625" style="300" customWidth="1"/>
    <col min="14089" max="14089" width="7.42578125" style="300" customWidth="1"/>
    <col min="14090" max="14090" width="13.7109375" style="300" customWidth="1"/>
    <col min="14091" max="14091" width="8.140625" style="300" customWidth="1"/>
    <col min="14092" max="14092" width="1.85546875" style="300" customWidth="1"/>
    <col min="14093" max="14093" width="8.140625" style="300" customWidth="1"/>
    <col min="14094" max="14094" width="13.42578125" style="300" bestFit="1" customWidth="1"/>
    <col min="14095" max="14095" width="4.5703125" style="300" bestFit="1" customWidth="1"/>
    <col min="14096" max="14096" width="26.7109375" style="300" customWidth="1"/>
    <col min="14097" max="14097" width="14.7109375" style="300" bestFit="1" customWidth="1"/>
    <col min="14098" max="14098" width="7" style="300" bestFit="1" customWidth="1"/>
    <col min="14099" max="14099" width="10.7109375" style="300" bestFit="1" customWidth="1"/>
    <col min="14100" max="14100" width="6.28515625" style="300" bestFit="1" customWidth="1"/>
    <col min="14101" max="14101" width="14.42578125" style="300" bestFit="1" customWidth="1"/>
    <col min="14102" max="14102" width="7" style="300" bestFit="1" customWidth="1"/>
    <col min="14103" max="14103" width="20.5703125" style="300" customWidth="1"/>
    <col min="14104" max="14104" width="5.5703125" style="300" bestFit="1" customWidth="1"/>
    <col min="14105" max="14105" width="11.28515625" style="300" customWidth="1"/>
    <col min="14106" max="14110" width="26.7109375" style="300" bestFit="1" customWidth="1"/>
    <col min="14111" max="14111" width="24.85546875" style="300" bestFit="1" customWidth="1"/>
    <col min="14112" max="14112" width="31" style="300" bestFit="1" customWidth="1"/>
    <col min="14113" max="14341" width="11.5703125" style="300"/>
    <col min="14342" max="14342" width="3.42578125" style="300" bestFit="1" customWidth="1"/>
    <col min="14343" max="14343" width="28" style="300" customWidth="1"/>
    <col min="14344" max="14344" width="11.28515625" style="300" customWidth="1"/>
    <col min="14345" max="14345" width="7.42578125" style="300" customWidth="1"/>
    <col min="14346" max="14346" width="13.7109375" style="300" customWidth="1"/>
    <col min="14347" max="14347" width="8.140625" style="300" customWidth="1"/>
    <col min="14348" max="14348" width="1.85546875" style="300" customWidth="1"/>
    <col min="14349" max="14349" width="8.140625" style="300" customWidth="1"/>
    <col min="14350" max="14350" width="13.42578125" style="300" bestFit="1" customWidth="1"/>
    <col min="14351" max="14351" width="4.5703125" style="300" bestFit="1" customWidth="1"/>
    <col min="14352" max="14352" width="26.7109375" style="300" customWidth="1"/>
    <col min="14353" max="14353" width="14.7109375" style="300" bestFit="1" customWidth="1"/>
    <col min="14354" max="14354" width="7" style="300" bestFit="1" customWidth="1"/>
    <col min="14355" max="14355" width="10.7109375" style="300" bestFit="1" customWidth="1"/>
    <col min="14356" max="14356" width="6.28515625" style="300" bestFit="1" customWidth="1"/>
    <col min="14357" max="14357" width="14.42578125" style="300" bestFit="1" customWidth="1"/>
    <col min="14358" max="14358" width="7" style="300" bestFit="1" customWidth="1"/>
    <col min="14359" max="14359" width="20.5703125" style="300" customWidth="1"/>
    <col min="14360" max="14360" width="5.5703125" style="300" bestFit="1" customWidth="1"/>
    <col min="14361" max="14361" width="11.28515625" style="300" customWidth="1"/>
    <col min="14362" max="14366" width="26.7109375" style="300" bestFit="1" customWidth="1"/>
    <col min="14367" max="14367" width="24.85546875" style="300" bestFit="1" customWidth="1"/>
    <col min="14368" max="14368" width="31" style="300" bestFit="1" customWidth="1"/>
    <col min="14369" max="14597" width="11.5703125" style="300"/>
    <col min="14598" max="14598" width="3.42578125" style="300" bestFit="1" customWidth="1"/>
    <col min="14599" max="14599" width="28" style="300" customWidth="1"/>
    <col min="14600" max="14600" width="11.28515625" style="300" customWidth="1"/>
    <col min="14601" max="14601" width="7.42578125" style="300" customWidth="1"/>
    <col min="14602" max="14602" width="13.7109375" style="300" customWidth="1"/>
    <col min="14603" max="14603" width="8.140625" style="300" customWidth="1"/>
    <col min="14604" max="14604" width="1.85546875" style="300" customWidth="1"/>
    <col min="14605" max="14605" width="8.140625" style="300" customWidth="1"/>
    <col min="14606" max="14606" width="13.42578125" style="300" bestFit="1" customWidth="1"/>
    <col min="14607" max="14607" width="4.5703125" style="300" bestFit="1" customWidth="1"/>
    <col min="14608" max="14608" width="26.7109375" style="300" customWidth="1"/>
    <col min="14609" max="14609" width="14.7109375" style="300" bestFit="1" customWidth="1"/>
    <col min="14610" max="14610" width="7" style="300" bestFit="1" customWidth="1"/>
    <col min="14611" max="14611" width="10.7109375" style="300" bestFit="1" customWidth="1"/>
    <col min="14612" max="14612" width="6.28515625" style="300" bestFit="1" customWidth="1"/>
    <col min="14613" max="14613" width="14.42578125" style="300" bestFit="1" customWidth="1"/>
    <col min="14614" max="14614" width="7" style="300" bestFit="1" customWidth="1"/>
    <col min="14615" max="14615" width="20.5703125" style="300" customWidth="1"/>
    <col min="14616" max="14616" width="5.5703125" style="300" bestFit="1" customWidth="1"/>
    <col min="14617" max="14617" width="11.28515625" style="300" customWidth="1"/>
    <col min="14618" max="14622" width="26.7109375" style="300" bestFit="1" customWidth="1"/>
    <col min="14623" max="14623" width="24.85546875" style="300" bestFit="1" customWidth="1"/>
    <col min="14624" max="14624" width="31" style="300" bestFit="1" customWidth="1"/>
    <col min="14625" max="14853" width="11.5703125" style="300"/>
    <col min="14854" max="14854" width="3.42578125" style="300" bestFit="1" customWidth="1"/>
    <col min="14855" max="14855" width="28" style="300" customWidth="1"/>
    <col min="14856" max="14856" width="11.28515625" style="300" customWidth="1"/>
    <col min="14857" max="14857" width="7.42578125" style="300" customWidth="1"/>
    <col min="14858" max="14858" width="13.7109375" style="300" customWidth="1"/>
    <col min="14859" max="14859" width="8.140625" style="300" customWidth="1"/>
    <col min="14860" max="14860" width="1.85546875" style="300" customWidth="1"/>
    <col min="14861" max="14861" width="8.140625" style="300" customWidth="1"/>
    <col min="14862" max="14862" width="13.42578125" style="300" bestFit="1" customWidth="1"/>
    <col min="14863" max="14863" width="4.5703125" style="300" bestFit="1" customWidth="1"/>
    <col min="14864" max="14864" width="26.7109375" style="300" customWidth="1"/>
    <col min="14865" max="14865" width="14.7109375" style="300" bestFit="1" customWidth="1"/>
    <col min="14866" max="14866" width="7" style="300" bestFit="1" customWidth="1"/>
    <col min="14867" max="14867" width="10.7109375" style="300" bestFit="1" customWidth="1"/>
    <col min="14868" max="14868" width="6.28515625" style="300" bestFit="1" customWidth="1"/>
    <col min="14869" max="14869" width="14.42578125" style="300" bestFit="1" customWidth="1"/>
    <col min="14870" max="14870" width="7" style="300" bestFit="1" customWidth="1"/>
    <col min="14871" max="14871" width="20.5703125" style="300" customWidth="1"/>
    <col min="14872" max="14872" width="5.5703125" style="300" bestFit="1" customWidth="1"/>
    <col min="14873" max="14873" width="11.28515625" style="300" customWidth="1"/>
    <col min="14874" max="14878" width="26.7109375" style="300" bestFit="1" customWidth="1"/>
    <col min="14879" max="14879" width="24.85546875" style="300" bestFit="1" customWidth="1"/>
    <col min="14880" max="14880" width="31" style="300" bestFit="1" customWidth="1"/>
    <col min="14881" max="15109" width="11.5703125" style="300"/>
    <col min="15110" max="15110" width="3.42578125" style="300" bestFit="1" customWidth="1"/>
    <col min="15111" max="15111" width="28" style="300" customWidth="1"/>
    <col min="15112" max="15112" width="11.28515625" style="300" customWidth="1"/>
    <col min="15113" max="15113" width="7.42578125" style="300" customWidth="1"/>
    <col min="15114" max="15114" width="13.7109375" style="300" customWidth="1"/>
    <col min="15115" max="15115" width="8.140625" style="300" customWidth="1"/>
    <col min="15116" max="15116" width="1.85546875" style="300" customWidth="1"/>
    <col min="15117" max="15117" width="8.140625" style="300" customWidth="1"/>
    <col min="15118" max="15118" width="13.42578125" style="300" bestFit="1" customWidth="1"/>
    <col min="15119" max="15119" width="4.5703125" style="300" bestFit="1" customWidth="1"/>
    <col min="15120" max="15120" width="26.7109375" style="300" customWidth="1"/>
    <col min="15121" max="15121" width="14.7109375" style="300" bestFit="1" customWidth="1"/>
    <col min="15122" max="15122" width="7" style="300" bestFit="1" customWidth="1"/>
    <col min="15123" max="15123" width="10.7109375" style="300" bestFit="1" customWidth="1"/>
    <col min="15124" max="15124" width="6.28515625" style="300" bestFit="1" customWidth="1"/>
    <col min="15125" max="15125" width="14.42578125" style="300" bestFit="1" customWidth="1"/>
    <col min="15126" max="15126" width="7" style="300" bestFit="1" customWidth="1"/>
    <col min="15127" max="15127" width="20.5703125" style="300" customWidth="1"/>
    <col min="15128" max="15128" width="5.5703125" style="300" bestFit="1" customWidth="1"/>
    <col min="15129" max="15129" width="11.28515625" style="300" customWidth="1"/>
    <col min="15130" max="15134" width="26.7109375" style="300" bestFit="1" customWidth="1"/>
    <col min="15135" max="15135" width="24.85546875" style="300" bestFit="1" customWidth="1"/>
    <col min="15136" max="15136" width="31" style="300" bestFit="1" customWidth="1"/>
    <col min="15137" max="15365" width="11.5703125" style="300"/>
    <col min="15366" max="15366" width="3.42578125" style="300" bestFit="1" customWidth="1"/>
    <col min="15367" max="15367" width="28" style="300" customWidth="1"/>
    <col min="15368" max="15368" width="11.28515625" style="300" customWidth="1"/>
    <col min="15369" max="15369" width="7.42578125" style="300" customWidth="1"/>
    <col min="15370" max="15370" width="13.7109375" style="300" customWidth="1"/>
    <col min="15371" max="15371" width="8.140625" style="300" customWidth="1"/>
    <col min="15372" max="15372" width="1.85546875" style="300" customWidth="1"/>
    <col min="15373" max="15373" width="8.140625" style="300" customWidth="1"/>
    <col min="15374" max="15374" width="13.42578125" style="300" bestFit="1" customWidth="1"/>
    <col min="15375" max="15375" width="4.5703125" style="300" bestFit="1" customWidth="1"/>
    <col min="15376" max="15376" width="26.7109375" style="300" customWidth="1"/>
    <col min="15377" max="15377" width="14.7109375" style="300" bestFit="1" customWidth="1"/>
    <col min="15378" max="15378" width="7" style="300" bestFit="1" customWidth="1"/>
    <col min="15379" max="15379" width="10.7109375" style="300" bestFit="1" customWidth="1"/>
    <col min="15380" max="15380" width="6.28515625" style="300" bestFit="1" customWidth="1"/>
    <col min="15381" max="15381" width="14.42578125" style="300" bestFit="1" customWidth="1"/>
    <col min="15382" max="15382" width="7" style="300" bestFit="1" customWidth="1"/>
    <col min="15383" max="15383" width="20.5703125" style="300" customWidth="1"/>
    <col min="15384" max="15384" width="5.5703125" style="300" bestFit="1" customWidth="1"/>
    <col min="15385" max="15385" width="11.28515625" style="300" customWidth="1"/>
    <col min="15386" max="15390" width="26.7109375" style="300" bestFit="1" customWidth="1"/>
    <col min="15391" max="15391" width="24.85546875" style="300" bestFit="1" customWidth="1"/>
    <col min="15392" max="15392" width="31" style="300" bestFit="1" customWidth="1"/>
    <col min="15393" max="15621" width="11.5703125" style="300"/>
    <col min="15622" max="15622" width="3.42578125" style="300" bestFit="1" customWidth="1"/>
    <col min="15623" max="15623" width="28" style="300" customWidth="1"/>
    <col min="15624" max="15624" width="11.28515625" style="300" customWidth="1"/>
    <col min="15625" max="15625" width="7.42578125" style="300" customWidth="1"/>
    <col min="15626" max="15626" width="13.7109375" style="300" customWidth="1"/>
    <col min="15627" max="15627" width="8.140625" style="300" customWidth="1"/>
    <col min="15628" max="15628" width="1.85546875" style="300" customWidth="1"/>
    <col min="15629" max="15629" width="8.140625" style="300" customWidth="1"/>
    <col min="15630" max="15630" width="13.42578125" style="300" bestFit="1" customWidth="1"/>
    <col min="15631" max="15631" width="4.5703125" style="300" bestFit="1" customWidth="1"/>
    <col min="15632" max="15632" width="26.7109375" style="300" customWidth="1"/>
    <col min="15633" max="15633" width="14.7109375" style="300" bestFit="1" customWidth="1"/>
    <col min="15634" max="15634" width="7" style="300" bestFit="1" customWidth="1"/>
    <col min="15635" max="15635" width="10.7109375" style="300" bestFit="1" customWidth="1"/>
    <col min="15636" max="15636" width="6.28515625" style="300" bestFit="1" customWidth="1"/>
    <col min="15637" max="15637" width="14.42578125" style="300" bestFit="1" customWidth="1"/>
    <col min="15638" max="15638" width="7" style="300" bestFit="1" customWidth="1"/>
    <col min="15639" max="15639" width="20.5703125" style="300" customWidth="1"/>
    <col min="15640" max="15640" width="5.5703125" style="300" bestFit="1" customWidth="1"/>
    <col min="15641" max="15641" width="11.28515625" style="300" customWidth="1"/>
    <col min="15642" max="15646" width="26.7109375" style="300" bestFit="1" customWidth="1"/>
    <col min="15647" max="15647" width="24.85546875" style="300" bestFit="1" customWidth="1"/>
    <col min="15648" max="15648" width="31" style="300" bestFit="1" customWidth="1"/>
    <col min="15649" max="15877" width="11.5703125" style="300"/>
    <col min="15878" max="15878" width="3.42578125" style="300" bestFit="1" customWidth="1"/>
    <col min="15879" max="15879" width="28" style="300" customWidth="1"/>
    <col min="15880" max="15880" width="11.28515625" style="300" customWidth="1"/>
    <col min="15881" max="15881" width="7.42578125" style="300" customWidth="1"/>
    <col min="15882" max="15882" width="13.7109375" style="300" customWidth="1"/>
    <col min="15883" max="15883" width="8.140625" style="300" customWidth="1"/>
    <col min="15884" max="15884" width="1.85546875" style="300" customWidth="1"/>
    <col min="15885" max="15885" width="8.140625" style="300" customWidth="1"/>
    <col min="15886" max="15886" width="13.42578125" style="300" bestFit="1" customWidth="1"/>
    <col min="15887" max="15887" width="4.5703125" style="300" bestFit="1" customWidth="1"/>
    <col min="15888" max="15888" width="26.7109375" style="300" customWidth="1"/>
    <col min="15889" max="15889" width="14.7109375" style="300" bestFit="1" customWidth="1"/>
    <col min="15890" max="15890" width="7" style="300" bestFit="1" customWidth="1"/>
    <col min="15891" max="15891" width="10.7109375" style="300" bestFit="1" customWidth="1"/>
    <col min="15892" max="15892" width="6.28515625" style="300" bestFit="1" customWidth="1"/>
    <col min="15893" max="15893" width="14.42578125" style="300" bestFit="1" customWidth="1"/>
    <col min="15894" max="15894" width="7" style="300" bestFit="1" customWidth="1"/>
    <col min="15895" max="15895" width="20.5703125" style="300" customWidth="1"/>
    <col min="15896" max="15896" width="5.5703125" style="300" bestFit="1" customWidth="1"/>
    <col min="15897" max="15897" width="11.28515625" style="300" customWidth="1"/>
    <col min="15898" max="15902" width="26.7109375" style="300" bestFit="1" customWidth="1"/>
    <col min="15903" max="15903" width="24.85546875" style="300" bestFit="1" customWidth="1"/>
    <col min="15904" max="15904" width="31" style="300" bestFit="1" customWidth="1"/>
    <col min="15905" max="16133" width="11.5703125" style="300"/>
    <col min="16134" max="16134" width="3.42578125" style="300" bestFit="1" customWidth="1"/>
    <col min="16135" max="16135" width="28" style="300" customWidth="1"/>
    <col min="16136" max="16136" width="11.28515625" style="300" customWidth="1"/>
    <col min="16137" max="16137" width="7.42578125" style="300" customWidth="1"/>
    <col min="16138" max="16138" width="13.7109375" style="300" customWidth="1"/>
    <col min="16139" max="16139" width="8.140625" style="300" customWidth="1"/>
    <col min="16140" max="16140" width="1.85546875" style="300" customWidth="1"/>
    <col min="16141" max="16141" width="8.140625" style="300" customWidth="1"/>
    <col min="16142" max="16142" width="13.42578125" style="300" bestFit="1" customWidth="1"/>
    <col min="16143" max="16143" width="4.5703125" style="300" bestFit="1" customWidth="1"/>
    <col min="16144" max="16144" width="26.7109375" style="300" customWidth="1"/>
    <col min="16145" max="16145" width="14.7109375" style="300" bestFit="1" customWidth="1"/>
    <col min="16146" max="16146" width="7" style="300" bestFit="1" customWidth="1"/>
    <col min="16147" max="16147" width="10.7109375" style="300" bestFit="1" customWidth="1"/>
    <col min="16148" max="16148" width="6.28515625" style="300" bestFit="1" customWidth="1"/>
    <col min="16149" max="16149" width="14.42578125" style="300" bestFit="1" customWidth="1"/>
    <col min="16150" max="16150" width="7" style="300" bestFit="1" customWidth="1"/>
    <col min="16151" max="16151" width="20.5703125" style="300" customWidth="1"/>
    <col min="16152" max="16152" width="5.5703125" style="300" bestFit="1" customWidth="1"/>
    <col min="16153" max="16153" width="11.28515625" style="300" customWidth="1"/>
    <col min="16154" max="16158" width="26.7109375" style="300" bestFit="1" customWidth="1"/>
    <col min="16159" max="16159" width="24.85546875" style="300" bestFit="1" customWidth="1"/>
    <col min="16160" max="16160" width="31" style="300" bestFit="1" customWidth="1"/>
    <col min="16161" max="16384" width="11.5703125" style="300"/>
  </cols>
  <sheetData>
    <row r="1" spans="1:30" ht="20.25">
      <c r="A1" s="567" t="s">
        <v>549</v>
      </c>
      <c r="B1" s="567"/>
      <c r="C1" s="567"/>
      <c r="D1" s="567"/>
      <c r="E1" s="567"/>
      <c r="F1" s="567"/>
      <c r="G1" s="567"/>
      <c r="H1" s="567"/>
      <c r="I1" s="567"/>
      <c r="K1" s="465" t="str">
        <f>+Facture!J4</f>
        <v>02</v>
      </c>
      <c r="L1" s="466" t="str">
        <f>+Facture!J6</f>
        <v>FOB</v>
      </c>
      <c r="M1" s="467" t="str">
        <f>MID(G8,4,2)</f>
        <v>02</v>
      </c>
      <c r="N1" s="467" t="str">
        <f>MID(G8,7,6)</f>
        <v>180801</v>
      </c>
      <c r="O1" s="467" t="str">
        <f>MID(G8,14,6)</f>
        <v>151317</v>
      </c>
      <c r="P1" s="298" t="s">
        <v>623</v>
      </c>
      <c r="Q1" s="296"/>
      <c r="AA1" s="299"/>
    </row>
    <row r="2" spans="1:30" ht="6" customHeight="1" thickBot="1">
      <c r="A2" s="300"/>
      <c r="B2" s="301"/>
      <c r="D2" s="296"/>
      <c r="E2" s="302"/>
      <c r="F2" s="300"/>
      <c r="G2" s="300"/>
      <c r="O2" s="299"/>
      <c r="P2" s="296"/>
      <c r="Q2" s="296"/>
    </row>
    <row r="3" spans="1:30" ht="13.9" customHeight="1">
      <c r="A3" s="304" t="s">
        <v>550</v>
      </c>
      <c r="B3" s="305"/>
      <c r="C3" s="305"/>
      <c r="D3" s="305"/>
      <c r="E3" s="305"/>
      <c r="F3" s="306"/>
      <c r="G3" s="307" t="s">
        <v>551</v>
      </c>
      <c r="H3" s="308"/>
      <c r="I3" s="309"/>
      <c r="L3" s="296"/>
      <c r="O3" s="296"/>
      <c r="P3" s="310" t="s">
        <v>624</v>
      </c>
      <c r="Q3" s="296"/>
      <c r="Z3" s="311"/>
      <c r="AA3" s="300"/>
    </row>
    <row r="4" spans="1:30" ht="13.15" customHeight="1">
      <c r="A4" s="312" t="s">
        <v>552</v>
      </c>
      <c r="B4" s="313"/>
      <c r="C4" s="313"/>
      <c r="D4" s="313"/>
      <c r="E4" s="313"/>
      <c r="F4" s="314"/>
      <c r="G4" s="568">
        <f ca="1">Facture!J2</f>
        <v>43313</v>
      </c>
      <c r="H4" s="569"/>
      <c r="I4" s="570"/>
      <c r="O4" s="296"/>
      <c r="P4" s="315"/>
      <c r="Q4" s="296"/>
      <c r="Z4" s="311"/>
      <c r="AA4" s="300"/>
    </row>
    <row r="5" spans="1:30">
      <c r="A5" s="312" t="s">
        <v>553</v>
      </c>
      <c r="B5" s="313"/>
      <c r="C5" s="313"/>
      <c r="D5" s="313"/>
      <c r="E5" s="313"/>
      <c r="F5" s="314"/>
      <c r="G5" s="316" t="s">
        <v>554</v>
      </c>
      <c r="H5" s="317"/>
      <c r="I5" s="318"/>
      <c r="L5" s="296"/>
      <c r="O5" s="296"/>
      <c r="P5" s="315"/>
      <c r="Q5" s="296"/>
      <c r="Z5" s="311"/>
      <c r="AA5" s="300"/>
    </row>
    <row r="6" spans="1:30" ht="13.15" customHeight="1">
      <c r="A6" s="312" t="s">
        <v>555</v>
      </c>
      <c r="B6" s="313"/>
      <c r="C6" s="313"/>
      <c r="D6" s="313"/>
      <c r="E6" s="313"/>
      <c r="F6" s="314"/>
      <c r="G6" s="561" t="str">
        <f>"PL"&amp;" "&amp;M1&amp;" "&amp;N1&amp;" "&amp;O1</f>
        <v>PL 02 180801 151317</v>
      </c>
      <c r="H6" s="562"/>
      <c r="I6" s="563"/>
      <c r="L6" s="296"/>
      <c r="O6" s="296"/>
      <c r="P6" s="315"/>
      <c r="Q6" s="296"/>
      <c r="Z6" s="311"/>
      <c r="AA6" s="300"/>
    </row>
    <row r="7" spans="1:30" ht="13.15" customHeight="1">
      <c r="A7" s="312" t="s">
        <v>604</v>
      </c>
      <c r="B7" s="313"/>
      <c r="C7" s="313"/>
      <c r="D7" s="313"/>
      <c r="E7" s="313"/>
      <c r="F7" s="314"/>
      <c r="G7" s="571" t="s">
        <v>566</v>
      </c>
      <c r="H7" s="572"/>
      <c r="I7" s="573"/>
      <c r="L7" s="296"/>
      <c r="O7" s="299"/>
      <c r="P7" s="315"/>
      <c r="Q7" s="296"/>
      <c r="Z7" s="311"/>
      <c r="AA7" s="300"/>
    </row>
    <row r="8" spans="1:30" ht="13.15" customHeight="1">
      <c r="A8" s="319" t="s">
        <v>556</v>
      </c>
      <c r="B8" s="320"/>
      <c r="C8" s="321"/>
      <c r="D8" s="577" t="s">
        <v>557</v>
      </c>
      <c r="E8" s="578"/>
      <c r="F8" s="579"/>
      <c r="G8" s="574" t="str">
        <f>Facture!G3</f>
        <v>CO 02 180801 151317</v>
      </c>
      <c r="H8" s="575"/>
      <c r="I8" s="576"/>
      <c r="J8" s="521"/>
      <c r="L8" s="296"/>
      <c r="O8" s="296"/>
      <c r="P8" s="322"/>
      <c r="Q8" s="296"/>
      <c r="R8" s="464"/>
      <c r="AA8" s="311"/>
    </row>
    <row r="9" spans="1:30">
      <c r="A9" s="580" t="str">
        <f>Facture!F5</f>
        <v>Durand Ets.</v>
      </c>
      <c r="B9" s="581"/>
      <c r="C9" s="582"/>
      <c r="D9" s="552" t="s">
        <v>552</v>
      </c>
      <c r="E9" s="553"/>
      <c r="F9" s="554"/>
      <c r="G9" s="564" t="s">
        <v>560</v>
      </c>
      <c r="H9" s="565"/>
      <c r="I9" s="566"/>
      <c r="L9" s="296"/>
      <c r="O9" s="323"/>
      <c r="P9" s="323"/>
      <c r="Q9" s="323"/>
      <c r="R9" s="464"/>
      <c r="S9" s="323"/>
      <c r="AA9" s="311"/>
    </row>
    <row r="10" spans="1:30">
      <c r="A10" s="583" t="str">
        <f>Facture!F6</f>
        <v>1 Cours Lieutaud</v>
      </c>
      <c r="B10" s="553"/>
      <c r="C10" s="554"/>
      <c r="D10" s="552" t="s">
        <v>559</v>
      </c>
      <c r="E10" s="553"/>
      <c r="F10" s="554"/>
      <c r="G10" s="558" t="str">
        <f>+L1</f>
        <v>FOB</v>
      </c>
      <c r="H10" s="559"/>
      <c r="I10" s="560"/>
      <c r="L10" s="296"/>
      <c r="O10" s="323"/>
      <c r="P10" s="323"/>
      <c r="Q10" s="296"/>
      <c r="R10" s="323"/>
      <c r="S10" s="323"/>
      <c r="AA10" s="311"/>
    </row>
    <row r="11" spans="1:30">
      <c r="A11" s="583" t="str">
        <f>Facture!F7</f>
        <v>Bâtiment B</v>
      </c>
      <c r="B11" s="553"/>
      <c r="C11" s="554"/>
      <c r="D11" s="552" t="s">
        <v>561</v>
      </c>
      <c r="E11" s="553"/>
      <c r="F11" s="554"/>
      <c r="G11" s="564" t="s">
        <v>558</v>
      </c>
      <c r="H11" s="565"/>
      <c r="I11" s="566"/>
      <c r="L11" s="296"/>
      <c r="O11" s="323"/>
      <c r="P11" s="323"/>
      <c r="Q11" s="296"/>
      <c r="R11" s="323"/>
      <c r="S11" s="323"/>
      <c r="AA11" s="311"/>
    </row>
    <row r="12" spans="1:30">
      <c r="A12" s="583">
        <f>Facture!F8</f>
        <v>13001</v>
      </c>
      <c r="B12" s="553"/>
      <c r="C12" s="554"/>
      <c r="D12" s="552" t="s">
        <v>562</v>
      </c>
      <c r="E12" s="553"/>
      <c r="F12" s="554"/>
      <c r="G12" s="555" t="s">
        <v>624</v>
      </c>
      <c r="H12" s="556"/>
      <c r="I12" s="557"/>
      <c r="L12" s="296"/>
      <c r="O12" s="323"/>
      <c r="P12" s="323"/>
      <c r="Q12" s="296"/>
      <c r="R12" s="323"/>
      <c r="S12" s="323"/>
      <c r="AA12" s="311"/>
    </row>
    <row r="13" spans="1:30">
      <c r="A13" s="583" t="str">
        <f>Facture!F9</f>
        <v>Marseille</v>
      </c>
      <c r="B13" s="553"/>
      <c r="C13" s="554"/>
      <c r="D13" s="552" t="s">
        <v>564</v>
      </c>
      <c r="E13" s="553"/>
      <c r="F13" s="554"/>
      <c r="G13" s="564" t="s">
        <v>563</v>
      </c>
      <c r="H13" s="565"/>
      <c r="I13" s="566"/>
      <c r="L13" s="296"/>
      <c r="O13" s="323"/>
      <c r="P13" s="323"/>
      <c r="Q13" s="296"/>
      <c r="R13" s="323"/>
      <c r="S13" s="323"/>
      <c r="AA13" s="311"/>
    </row>
    <row r="14" spans="1:30">
      <c r="A14" s="583" t="str">
        <f>Facture!F10</f>
        <v/>
      </c>
      <c r="B14" s="553"/>
      <c r="C14" s="554"/>
      <c r="D14" s="324"/>
      <c r="E14" s="325"/>
      <c r="F14" s="326"/>
      <c r="G14" s="558"/>
      <c r="H14" s="559"/>
      <c r="I14" s="560"/>
      <c r="M14" s="323"/>
      <c r="O14" s="323"/>
      <c r="P14" s="323"/>
      <c r="Q14" s="323"/>
      <c r="R14" s="323"/>
      <c r="S14" s="323"/>
      <c r="AA14" s="311"/>
    </row>
    <row r="15" spans="1:30">
      <c r="A15" s="580" t="str">
        <f>Facture!F11</f>
        <v>France</v>
      </c>
      <c r="B15" s="581"/>
      <c r="C15" s="582"/>
      <c r="D15" s="324"/>
      <c r="E15" s="325"/>
      <c r="F15" s="326"/>
      <c r="G15" s="609" t="s">
        <v>607</v>
      </c>
      <c r="H15" s="610"/>
      <c r="I15" s="611"/>
      <c r="L15" s="327"/>
      <c r="M15" s="323"/>
      <c r="O15" s="296"/>
      <c r="P15" s="296"/>
      <c r="Q15" s="296"/>
      <c r="R15" s="296"/>
      <c r="Y15" s="323"/>
      <c r="Z15" s="328"/>
      <c r="AA15" s="311"/>
      <c r="AB15" s="328"/>
      <c r="AC15" s="328"/>
      <c r="AD15" s="328"/>
    </row>
    <row r="16" spans="1:30" ht="15" thickBot="1">
      <c r="A16" s="595" t="str">
        <f>VLOOKUP(Facture!J4,Clients!$B$4:$L$53,9)</f>
        <v/>
      </c>
      <c r="B16" s="596"/>
      <c r="C16" s="597"/>
      <c r="D16" s="329"/>
      <c r="E16" s="330"/>
      <c r="F16" s="331"/>
      <c r="G16" s="606"/>
      <c r="H16" s="607"/>
      <c r="I16" s="608"/>
      <c r="L16" s="332"/>
      <c r="Q16" s="296"/>
      <c r="R16" s="296"/>
      <c r="Y16" s="323"/>
      <c r="Z16" s="328"/>
      <c r="AA16" s="311"/>
      <c r="AB16" s="328"/>
      <c r="AC16" s="328"/>
      <c r="AD16" s="328"/>
    </row>
    <row r="17" spans="1:30" ht="6" customHeight="1" thickBot="1">
      <c r="A17" s="605"/>
      <c r="B17" s="605"/>
      <c r="C17" s="605"/>
      <c r="K17" s="334"/>
      <c r="L17" s="327"/>
      <c r="M17" s="335"/>
      <c r="N17" s="336"/>
      <c r="O17" s="296"/>
      <c r="P17" s="296"/>
      <c r="Q17" s="296"/>
      <c r="R17" s="296"/>
      <c r="Y17" s="323"/>
      <c r="Z17" s="328"/>
      <c r="AA17" s="311"/>
      <c r="AB17" s="328"/>
      <c r="AC17" s="328"/>
      <c r="AD17" s="328"/>
    </row>
    <row r="18" spans="1:30" ht="39" thickBot="1">
      <c r="A18" s="337" t="s">
        <v>631</v>
      </c>
      <c r="B18" s="338" t="s">
        <v>20</v>
      </c>
      <c r="C18" s="473"/>
      <c r="D18" s="339" t="s">
        <v>406</v>
      </c>
      <c r="E18" s="246" t="s">
        <v>616</v>
      </c>
      <c r="F18" s="340" t="s">
        <v>603</v>
      </c>
      <c r="G18" s="341"/>
      <c r="H18" s="342" t="s">
        <v>389</v>
      </c>
      <c r="I18" s="340" t="s">
        <v>605</v>
      </c>
      <c r="J18" s="525" t="s">
        <v>686</v>
      </c>
      <c r="K18" s="336" t="s">
        <v>578</v>
      </c>
      <c r="L18" s="343" t="s">
        <v>625</v>
      </c>
      <c r="M18" s="344" t="s">
        <v>185</v>
      </c>
      <c r="N18" s="344" t="s">
        <v>17</v>
      </c>
      <c r="O18" s="296"/>
      <c r="P18" s="296"/>
      <c r="Q18" s="296"/>
      <c r="R18" s="296"/>
      <c r="X18" s="300"/>
      <c r="Y18" s="311"/>
      <c r="Z18" s="328"/>
      <c r="AA18" s="328"/>
      <c r="AB18" s="328"/>
      <c r="AC18" s="328"/>
      <c r="AD18" s="328"/>
    </row>
    <row r="19" spans="1:30" s="351" customFormat="1" ht="15.75" thickTop="1" thickBot="1">
      <c r="A19" s="392" t="s">
        <v>19</v>
      </c>
      <c r="B19" s="175" t="s">
        <v>13</v>
      </c>
      <c r="C19" s="474" t="str">
        <f>IF(ISBLANK(B19)," ",VLOOKUP(B19,Produits!$B$3:$C$102,2,))</f>
        <v>Gr</v>
      </c>
      <c r="D19" s="404">
        <v>1</v>
      </c>
      <c r="E19" s="405">
        <v>0.76800000000000002</v>
      </c>
      <c r="F19" s="254">
        <f>IF(ISBLANK(D19)," ",D19*E19)</f>
        <v>0.76800000000000002</v>
      </c>
      <c r="G19" s="346"/>
      <c r="H19" s="347" t="s">
        <v>19</v>
      </c>
      <c r="I19" s="348">
        <f t="shared" ref="I19:I79" si="0">IF(ISBLANK(K19),"",IFERROR(SUMIF($A$19:$A$79,H19,$F$19:$F$79)+N19," "))</f>
        <v>3.9709999999999996</v>
      </c>
      <c r="J19" s="522">
        <f>IF(ISBLANK(B19)," ",VLOOKUP(B19,Produits!B2:G101,3,))</f>
        <v>0</v>
      </c>
      <c r="K19" s="421" t="s">
        <v>19</v>
      </c>
      <c r="L19" s="426" t="s">
        <v>674</v>
      </c>
      <c r="M19" s="349">
        <f>IFERROR(VLOOKUP(L19,Carton!$B$5:$J$61,7,),"-")</f>
        <v>1.4999999999999999E-2</v>
      </c>
      <c r="N19" s="350">
        <f>IFERROR(VLOOKUP(L19,Carton!$B$5:$J$61,9,),"-")</f>
        <v>0.40300000000000002</v>
      </c>
      <c r="O19" s="296"/>
      <c r="P19" s="296"/>
      <c r="Q19" s="296"/>
      <c r="R19" s="296"/>
      <c r="S19" s="323"/>
      <c r="T19" s="311"/>
      <c r="U19" s="328"/>
      <c r="V19" s="328"/>
      <c r="W19" s="328"/>
      <c r="X19" s="328"/>
    </row>
    <row r="20" spans="1:30" ht="15" thickBot="1">
      <c r="A20" s="392" t="s">
        <v>19</v>
      </c>
      <c r="B20" s="175" t="s">
        <v>577</v>
      </c>
      <c r="C20" s="474" t="str">
        <f>IF(ISBLANK(B20)," ",VLOOKUP(B20,Produits!$B$3:$C$102,2,))</f>
        <v>U</v>
      </c>
      <c r="D20" s="404">
        <v>8</v>
      </c>
      <c r="E20" s="405">
        <v>0.35</v>
      </c>
      <c r="F20" s="254">
        <f t="shared" ref="F20:F51" si="1">IF(ISBLANK(D20)," ",D20*E20)</f>
        <v>2.8</v>
      </c>
      <c r="G20" s="352"/>
      <c r="H20" s="353" t="s">
        <v>390</v>
      </c>
      <c r="I20" s="348" t="str">
        <f>IF(ISBLANK(K20),"",IFERROR(SUMIF($A$19:$A$79,H20,$F$19:$F$79)+N20," "))</f>
        <v/>
      </c>
      <c r="J20" s="522">
        <f>IF(ISBLANK(B20)," ",VLOOKUP(B20,Produits!B3:G102,3,))</f>
        <v>0.35</v>
      </c>
      <c r="K20" s="422"/>
      <c r="L20" s="427"/>
      <c r="M20" s="349" t="str">
        <f>IFERROR(VLOOKUP(L20,Carton!$B$5:$J$61,7,),"-")</f>
        <v>-</v>
      </c>
      <c r="N20" s="350" t="str">
        <f>IFERROR(VLOOKUP(L20,Carton!$B$5:$J$61,9,),"-")</f>
        <v>-</v>
      </c>
      <c r="O20" s="296"/>
      <c r="P20" s="323"/>
      <c r="Q20" s="311"/>
      <c r="R20" s="323"/>
      <c r="S20" s="323"/>
      <c r="T20" s="328"/>
      <c r="U20" s="328"/>
      <c r="V20" s="300"/>
      <c r="W20" s="300"/>
      <c r="X20" s="300"/>
      <c r="Y20" s="300"/>
      <c r="AA20" s="300"/>
    </row>
    <row r="21" spans="1:30" ht="15" thickBot="1">
      <c r="A21" s="392"/>
      <c r="B21" s="175"/>
      <c r="C21" s="474" t="str">
        <f>IF(ISBLANK(B21)," ",VLOOKUP(B21,Produits!$B$3:$C$102,2,))</f>
        <v xml:space="preserve"> </v>
      </c>
      <c r="D21" s="404"/>
      <c r="E21" s="405"/>
      <c r="F21" s="254" t="str">
        <f t="shared" si="1"/>
        <v xml:space="preserve"> </v>
      </c>
      <c r="G21" s="354"/>
      <c r="H21" s="353" t="s">
        <v>391</v>
      </c>
      <c r="I21" s="348" t="str">
        <f t="shared" si="0"/>
        <v/>
      </c>
      <c r="J21" s="522" t="str">
        <f>IF(ISBLANK(B21)," ",VLOOKUP(B21,Produits!B4:G103,3,))</f>
        <v xml:space="preserve"> </v>
      </c>
      <c r="K21" s="422"/>
      <c r="L21" s="427"/>
      <c r="M21" s="349" t="str">
        <f>IFERROR(VLOOKUP(L21,Carton!$B$5:$J$61,7,),"-")</f>
        <v>-</v>
      </c>
      <c r="N21" s="350" t="str">
        <f>IFERROR(VLOOKUP(L21,Carton!$B$5:$J$61,9,),"-")</f>
        <v>-</v>
      </c>
      <c r="O21" s="296"/>
      <c r="P21" s="323"/>
      <c r="Q21" s="311"/>
      <c r="R21" s="323"/>
      <c r="S21" s="323"/>
      <c r="T21" s="328"/>
      <c r="U21" s="328"/>
      <c r="V21" s="300"/>
      <c r="W21" s="300"/>
      <c r="X21" s="300"/>
      <c r="Y21" s="300"/>
      <c r="AA21" s="300"/>
    </row>
    <row r="22" spans="1:30" ht="15" thickBot="1">
      <c r="A22" s="392"/>
      <c r="B22" s="393"/>
      <c r="C22" s="474" t="str">
        <f>IF(ISBLANK(B22)," ",VLOOKUP(B22,Produits!$B$3:$C$102,2,))</f>
        <v xml:space="preserve"> </v>
      </c>
      <c r="D22" s="404"/>
      <c r="E22" s="405"/>
      <c r="F22" s="254" t="str">
        <f>IF(ISBLANK(D22)," ",D22*E22)</f>
        <v xml:space="preserve"> </v>
      </c>
      <c r="G22" s="354"/>
      <c r="H22" s="353" t="s">
        <v>392</v>
      </c>
      <c r="I22" s="348" t="str">
        <f t="shared" si="0"/>
        <v/>
      </c>
      <c r="J22" s="522" t="str">
        <f>IF(ISBLANK(B22)," ",VLOOKUP(B22,Produits!B5:G104,3,))</f>
        <v xml:space="preserve"> </v>
      </c>
      <c r="K22" s="422"/>
      <c r="L22" s="427"/>
      <c r="M22" s="349" t="str">
        <f>IFERROR(VLOOKUP(L22,Carton!$B$5:$J$61,7,),"-")</f>
        <v>-</v>
      </c>
      <c r="N22" s="350" t="str">
        <f>IFERROR(VLOOKUP(L22,Carton!$B$5:$J$61,9,),"-")</f>
        <v>-</v>
      </c>
      <c r="O22" s="296"/>
      <c r="P22" s="296"/>
      <c r="Q22" s="311"/>
      <c r="R22" s="296"/>
      <c r="T22" s="300"/>
      <c r="U22" s="300"/>
      <c r="V22" s="300"/>
      <c r="W22" s="300"/>
      <c r="X22" s="300"/>
      <c r="Y22" s="300"/>
      <c r="AA22" s="300"/>
    </row>
    <row r="23" spans="1:30" ht="15" thickBot="1">
      <c r="A23" s="392"/>
      <c r="B23" s="175"/>
      <c r="C23" s="474" t="str">
        <f>IF(ISBLANK(B23)," ",VLOOKUP(B23,Produits!$B$3:$C$102,2,))</f>
        <v xml:space="preserve"> </v>
      </c>
      <c r="D23" s="404"/>
      <c r="E23" s="405"/>
      <c r="F23" s="254" t="str">
        <f t="shared" si="1"/>
        <v xml:space="preserve"> </v>
      </c>
      <c r="G23" s="354"/>
      <c r="H23" s="353" t="s">
        <v>393</v>
      </c>
      <c r="I23" s="348" t="str">
        <f t="shared" si="0"/>
        <v/>
      </c>
      <c r="J23" s="522" t="str">
        <f>IF(ISBLANK(B23)," ",VLOOKUP(B23,Produits!B6:G105,3,))</f>
        <v xml:space="preserve"> </v>
      </c>
      <c r="K23" s="422"/>
      <c r="L23" s="427"/>
      <c r="M23" s="349" t="str">
        <f>IFERROR(VLOOKUP(L23,Carton!$B$5:$J$61,7,),"-")</f>
        <v>-</v>
      </c>
      <c r="N23" s="350" t="str">
        <f>IFERROR(VLOOKUP(L23,Carton!$B$5:$J$61,9,),"-")</f>
        <v>-</v>
      </c>
      <c r="O23" s="296"/>
      <c r="P23" s="296"/>
      <c r="Q23" s="311"/>
      <c r="R23" s="296"/>
      <c r="T23" s="300"/>
      <c r="U23" s="300"/>
      <c r="V23" s="300"/>
      <c r="W23" s="300"/>
      <c r="X23" s="300"/>
      <c r="Y23" s="300"/>
      <c r="AA23" s="300"/>
    </row>
    <row r="24" spans="1:30" ht="15" thickBot="1">
      <c r="A24" s="392"/>
      <c r="B24" s="175"/>
      <c r="C24" s="474" t="str">
        <f>IF(ISBLANK(B24)," ",VLOOKUP(B24,Produits!$B$3:$C$102,2,))</f>
        <v xml:space="preserve"> </v>
      </c>
      <c r="D24" s="404"/>
      <c r="E24" s="405"/>
      <c r="F24" s="254" t="str">
        <f t="shared" si="1"/>
        <v xml:space="preserve"> </v>
      </c>
      <c r="G24" s="354"/>
      <c r="H24" s="353" t="s">
        <v>394</v>
      </c>
      <c r="I24" s="348" t="str">
        <f t="shared" si="0"/>
        <v/>
      </c>
      <c r="J24" s="522" t="str">
        <f>IF(ISBLANK(B24)," ",VLOOKUP(B24,Produits!B7:G106,3,))</f>
        <v xml:space="preserve"> </v>
      </c>
      <c r="K24" s="422"/>
      <c r="L24" s="427"/>
      <c r="M24" s="349" t="str">
        <f>IFERROR(VLOOKUP(L24,Carton!$B$5:$J$61,7,),"-")</f>
        <v>-</v>
      </c>
      <c r="N24" s="350" t="str">
        <f>IFERROR(VLOOKUP(L24,Carton!$B$5:$J$61,9,),"-")</f>
        <v>-</v>
      </c>
      <c r="O24" s="300"/>
      <c r="P24" s="300"/>
      <c r="Q24" s="300"/>
      <c r="R24" s="300"/>
      <c r="S24" s="300"/>
      <c r="T24" s="300"/>
      <c r="U24" s="300"/>
      <c r="V24" s="300"/>
      <c r="W24" s="300"/>
      <c r="X24" s="300"/>
      <c r="Y24" s="300"/>
      <c r="AA24" s="300"/>
    </row>
    <row r="25" spans="1:30" ht="15" thickBot="1">
      <c r="A25" s="392"/>
      <c r="B25" s="175"/>
      <c r="C25" s="474" t="str">
        <f>IF(ISBLANK(B25)," ",VLOOKUP(B25,Produits!$B$3:$C$102,2,))</f>
        <v xml:space="preserve"> </v>
      </c>
      <c r="D25" s="404"/>
      <c r="E25" s="405"/>
      <c r="F25" s="254" t="str">
        <f t="shared" si="1"/>
        <v xml:space="preserve"> </v>
      </c>
      <c r="G25" s="354"/>
      <c r="H25" s="353" t="s">
        <v>395</v>
      </c>
      <c r="I25" s="348" t="str">
        <f t="shared" si="0"/>
        <v/>
      </c>
      <c r="J25" s="522" t="str">
        <f>IF(ISBLANK(B25)," ",VLOOKUP(B25,Produits!B8:G107,3,))</f>
        <v xml:space="preserve"> </v>
      </c>
      <c r="K25" s="422"/>
      <c r="L25" s="427"/>
      <c r="M25" s="349" t="str">
        <f>IFERROR(VLOOKUP(L25,Carton!$B$5:$J$61,7,),"-")</f>
        <v>-</v>
      </c>
      <c r="N25" s="350" t="str">
        <f>IFERROR(VLOOKUP(L25,Carton!$B$5:$J$61,9,),"-")</f>
        <v>-</v>
      </c>
      <c r="O25" s="300"/>
      <c r="P25" s="300"/>
      <c r="Q25" s="300"/>
      <c r="R25" s="300"/>
      <c r="S25" s="300"/>
      <c r="T25" s="300"/>
      <c r="U25" s="300"/>
      <c r="V25" s="300"/>
      <c r="W25" s="300"/>
      <c r="X25" s="300"/>
      <c r="Y25" s="300"/>
      <c r="AA25" s="300"/>
    </row>
    <row r="26" spans="1:30" ht="15" thickBot="1">
      <c r="A26" s="392"/>
      <c r="B26" s="175"/>
      <c r="C26" s="474" t="str">
        <f>IF(ISBLANK(B26)," ",VLOOKUP(B26,Produits!$B$3:$C$102,2,))</f>
        <v xml:space="preserve"> </v>
      </c>
      <c r="D26" s="404"/>
      <c r="E26" s="405"/>
      <c r="F26" s="254" t="str">
        <f t="shared" si="1"/>
        <v xml:space="preserve"> </v>
      </c>
      <c r="G26" s="355"/>
      <c r="H26" s="353" t="s">
        <v>396</v>
      </c>
      <c r="I26" s="348" t="str">
        <f t="shared" si="0"/>
        <v/>
      </c>
      <c r="J26" s="522" t="str">
        <f>IF(ISBLANK(B26)," ",VLOOKUP(B26,Produits!B9:G108,3,))</f>
        <v xml:space="preserve"> </v>
      </c>
      <c r="K26" s="422"/>
      <c r="L26" s="427"/>
      <c r="M26" s="349" t="str">
        <f>IFERROR(VLOOKUP(L26,Carton!$B$5:$J$61,7,),"-")</f>
        <v>-</v>
      </c>
      <c r="N26" s="350" t="str">
        <f>IFERROR(VLOOKUP(L26,Carton!$B$5:$J$61,9,),"-")</f>
        <v>-</v>
      </c>
      <c r="O26" s="300"/>
      <c r="P26" s="300"/>
      <c r="Q26" s="300"/>
      <c r="R26" s="300"/>
      <c r="S26" s="300"/>
      <c r="T26" s="300"/>
      <c r="U26" s="300"/>
      <c r="V26" s="300"/>
      <c r="W26" s="300"/>
      <c r="X26" s="300"/>
      <c r="Y26" s="300"/>
      <c r="AA26" s="300"/>
    </row>
    <row r="27" spans="1:30" ht="15" thickBot="1">
      <c r="A27" s="392"/>
      <c r="B27" s="175"/>
      <c r="C27" s="474" t="str">
        <f>IF(ISBLANK(B27)," ",VLOOKUP(B27,Produits!$B$3:$C$102,2,))</f>
        <v xml:space="preserve"> </v>
      </c>
      <c r="D27" s="406"/>
      <c r="E27" s="407"/>
      <c r="F27" s="254" t="str">
        <f t="shared" si="1"/>
        <v xml:space="preserve"> </v>
      </c>
      <c r="G27" s="355"/>
      <c r="H27" s="353" t="s">
        <v>409</v>
      </c>
      <c r="I27" s="348" t="str">
        <f t="shared" si="0"/>
        <v/>
      </c>
      <c r="J27" s="522" t="str">
        <f>IF(ISBLANK(B27)," ",VLOOKUP(B27,Produits!B10:G109,3,))</f>
        <v xml:space="preserve"> </v>
      </c>
      <c r="K27" s="422"/>
      <c r="L27" s="427"/>
      <c r="M27" s="349" t="str">
        <f>IFERROR(VLOOKUP(L27,Carton!$B$5:$J$61,7,),"-")</f>
        <v>-</v>
      </c>
      <c r="N27" s="350" t="str">
        <f>IFERROR(VLOOKUP(L27,Carton!$B$5:$J$61,9,),"-")</f>
        <v>-</v>
      </c>
      <c r="O27" s="300"/>
      <c r="P27" s="300"/>
      <c r="Q27" s="300"/>
      <c r="R27" s="300"/>
      <c r="S27" s="300"/>
      <c r="T27" s="300"/>
      <c r="U27" s="300"/>
      <c r="V27" s="300"/>
      <c r="W27" s="300"/>
      <c r="X27" s="300"/>
      <c r="Y27" s="300"/>
      <c r="AA27" s="300"/>
    </row>
    <row r="28" spans="1:30" ht="15" thickBot="1">
      <c r="A28" s="392"/>
      <c r="B28" s="175"/>
      <c r="C28" s="474" t="str">
        <f>IF(ISBLANK(B28)," ",VLOOKUP(B28,Produits!$B$3:$C$102,2,))</f>
        <v xml:space="preserve"> </v>
      </c>
      <c r="D28" s="406"/>
      <c r="E28" s="407"/>
      <c r="F28" s="254" t="str">
        <f t="shared" si="1"/>
        <v xml:space="preserve"> </v>
      </c>
      <c r="G28" s="355"/>
      <c r="H28" s="353" t="s">
        <v>421</v>
      </c>
      <c r="I28" s="348" t="str">
        <f t="shared" si="0"/>
        <v/>
      </c>
      <c r="J28" s="522" t="str">
        <f>IF(ISBLANK(B28)," ",VLOOKUP(B28,Produits!B11:G110,3,))</f>
        <v xml:space="preserve"> </v>
      </c>
      <c r="K28" s="422"/>
      <c r="L28" s="427"/>
      <c r="M28" s="349" t="str">
        <f>IFERROR(VLOOKUP(L28,Carton!$B$5:$J$61,7,),"-")</f>
        <v>-</v>
      </c>
      <c r="N28" s="350" t="str">
        <f>IFERROR(VLOOKUP(L28,Carton!$B$5:$J$61,9,),"-")</f>
        <v>-</v>
      </c>
      <c r="O28" s="300"/>
      <c r="P28" s="300"/>
      <c r="Q28" s="300"/>
      <c r="R28" s="300"/>
      <c r="S28" s="300"/>
      <c r="T28" s="300"/>
      <c r="U28" s="300"/>
      <c r="V28" s="300"/>
      <c r="W28" s="300"/>
      <c r="X28" s="300"/>
      <c r="Y28" s="300"/>
      <c r="AA28" s="300"/>
    </row>
    <row r="29" spans="1:30" ht="15" thickBot="1">
      <c r="A29" s="392"/>
      <c r="B29" s="175"/>
      <c r="C29" s="474" t="str">
        <f>IF(ISBLANK(B29)," ",VLOOKUP(B29,Produits!$B$3:$C$102,2,))</f>
        <v xml:space="preserve"> </v>
      </c>
      <c r="D29" s="406"/>
      <c r="E29" s="407"/>
      <c r="F29" s="254" t="str">
        <f t="shared" si="1"/>
        <v xml:space="preserve"> </v>
      </c>
      <c r="G29" s="355"/>
      <c r="H29" s="353" t="s">
        <v>422</v>
      </c>
      <c r="I29" s="348" t="str">
        <f t="shared" si="0"/>
        <v/>
      </c>
      <c r="J29" s="522" t="str">
        <f>IF(ISBLANK(B29)," ",VLOOKUP(B29,Produits!B12:G111,3,))</f>
        <v xml:space="preserve"> </v>
      </c>
      <c r="K29" s="422"/>
      <c r="L29" s="427"/>
      <c r="M29" s="349" t="str">
        <f>IFERROR(VLOOKUP(L29,Carton!$B$5:$J$61,7,),"-")</f>
        <v>-</v>
      </c>
      <c r="N29" s="350" t="str">
        <f>IFERROR(VLOOKUP(L29,Carton!$B$5:$J$61,9,),"-")</f>
        <v>-</v>
      </c>
      <c r="O29" s="300"/>
      <c r="P29" s="300"/>
      <c r="Q29" s="300"/>
      <c r="R29" s="300"/>
      <c r="S29" s="300"/>
      <c r="T29" s="300"/>
      <c r="U29" s="300"/>
      <c r="V29" s="300"/>
      <c r="W29" s="300"/>
      <c r="X29" s="300"/>
      <c r="Y29" s="300"/>
      <c r="AA29" s="300"/>
    </row>
    <row r="30" spans="1:30" ht="15" thickBot="1">
      <c r="A30" s="392"/>
      <c r="B30" s="175"/>
      <c r="C30" s="474" t="str">
        <f>IF(ISBLANK(B30)," ",VLOOKUP(B30,Produits!$B$3:$C$102,2,))</f>
        <v xml:space="preserve"> </v>
      </c>
      <c r="D30" s="406"/>
      <c r="E30" s="407"/>
      <c r="F30" s="254" t="str">
        <f t="shared" si="1"/>
        <v xml:space="preserve"> </v>
      </c>
      <c r="G30" s="355"/>
      <c r="H30" s="353" t="s">
        <v>423</v>
      </c>
      <c r="I30" s="348" t="str">
        <f t="shared" si="0"/>
        <v/>
      </c>
      <c r="J30" s="522" t="str">
        <f>IF(ISBLANK(B30)," ",VLOOKUP(B30,Produits!B13:G112,3,))</f>
        <v xml:space="preserve"> </v>
      </c>
      <c r="K30" s="422"/>
      <c r="L30" s="427"/>
      <c r="M30" s="349" t="str">
        <f>IFERROR(VLOOKUP(L30,Carton!$B$5:$J$61,7,),"-")</f>
        <v>-</v>
      </c>
      <c r="N30" s="350" t="str">
        <f>IFERROR(VLOOKUP(L30,Carton!$B$5:$J$61,9,),"-")</f>
        <v>-</v>
      </c>
      <c r="O30" s="300"/>
      <c r="P30" s="300"/>
      <c r="Q30" s="300"/>
      <c r="R30" s="300"/>
      <c r="S30" s="300"/>
      <c r="T30" s="300"/>
      <c r="U30" s="300"/>
      <c r="V30" s="300"/>
      <c r="W30" s="300"/>
      <c r="X30" s="300"/>
      <c r="Y30" s="300"/>
      <c r="AA30" s="300"/>
    </row>
    <row r="31" spans="1:30" ht="15" thickBot="1">
      <c r="A31" s="392"/>
      <c r="B31" s="175"/>
      <c r="C31" s="474" t="str">
        <f>IF(ISBLANK(B31)," ",VLOOKUP(B31,Produits!$B$3:$C$102,2,))</f>
        <v xml:space="preserve"> </v>
      </c>
      <c r="D31" s="406"/>
      <c r="E31" s="407"/>
      <c r="F31" s="254" t="str">
        <f t="shared" si="1"/>
        <v xml:space="preserve"> </v>
      </c>
      <c r="G31" s="354"/>
      <c r="H31" s="353" t="s">
        <v>424</v>
      </c>
      <c r="I31" s="348" t="str">
        <f t="shared" si="0"/>
        <v/>
      </c>
      <c r="J31" s="522" t="str">
        <f>IF(ISBLANK(B31)," ",VLOOKUP(B31,Produits!B14:G113,3,))</f>
        <v xml:space="preserve"> </v>
      </c>
      <c r="K31" s="422"/>
      <c r="L31" s="427"/>
      <c r="M31" s="349" t="str">
        <f>IFERROR(VLOOKUP(L31,Carton!$B$5:$J$61,7,),"-")</f>
        <v>-</v>
      </c>
      <c r="N31" s="350" t="str">
        <f>IFERROR(VLOOKUP(L31,Carton!$B$5:$J$61,9,),"-")</f>
        <v>-</v>
      </c>
      <c r="O31" s="300"/>
      <c r="P31" s="300"/>
      <c r="Q31" s="300"/>
      <c r="R31" s="300"/>
      <c r="S31" s="300"/>
      <c r="T31" s="300"/>
      <c r="U31" s="300"/>
      <c r="V31" s="300"/>
      <c r="W31" s="300"/>
      <c r="X31" s="300"/>
      <c r="Y31" s="300"/>
      <c r="AA31" s="300"/>
    </row>
    <row r="32" spans="1:30" ht="15" thickBot="1">
      <c r="A32" s="392"/>
      <c r="B32" s="175"/>
      <c r="C32" s="474" t="str">
        <f>IF(ISBLANK(B32)," ",VLOOKUP(B32,Produits!$B$3:$C$102,2,))</f>
        <v xml:space="preserve"> </v>
      </c>
      <c r="D32" s="406"/>
      <c r="E32" s="408"/>
      <c r="F32" s="254" t="str">
        <f t="shared" si="1"/>
        <v xml:space="preserve"> </v>
      </c>
      <c r="G32" s="354"/>
      <c r="H32" s="353" t="s">
        <v>425</v>
      </c>
      <c r="I32" s="348" t="str">
        <f t="shared" si="0"/>
        <v/>
      </c>
      <c r="J32" s="522" t="str">
        <f>IF(ISBLANK(B32)," ",VLOOKUP(B32,Produits!B15:G114,3,))</f>
        <v xml:space="preserve"> </v>
      </c>
      <c r="K32" s="422"/>
      <c r="L32" s="427"/>
      <c r="M32" s="349" t="str">
        <f>IFERROR(VLOOKUP(L32,Carton!$B$5:$J$61,7,),"-")</f>
        <v>-</v>
      </c>
      <c r="N32" s="350" t="str">
        <f>IFERROR(VLOOKUP(L32,Carton!$B$5:$J$61,9,),"-")</f>
        <v>-</v>
      </c>
      <c r="O32" s="300"/>
      <c r="P32" s="300"/>
      <c r="Q32" s="300"/>
      <c r="R32" s="300"/>
      <c r="S32" s="300"/>
      <c r="T32" s="300"/>
      <c r="U32" s="300"/>
      <c r="V32" s="300"/>
      <c r="W32" s="300"/>
      <c r="X32" s="300"/>
      <c r="Y32" s="300"/>
      <c r="AA32" s="300"/>
    </row>
    <row r="33" spans="1:27" ht="15" thickBot="1">
      <c r="A33" s="392"/>
      <c r="B33" s="175"/>
      <c r="C33" s="474" t="str">
        <f>IF(ISBLANK(B33)," ",VLOOKUP(B33,Produits!$B$3:$C$102,2,))</f>
        <v xml:space="preserve"> </v>
      </c>
      <c r="D33" s="406"/>
      <c r="E33" s="408"/>
      <c r="F33" s="254" t="str">
        <f t="shared" si="1"/>
        <v xml:space="preserve"> </v>
      </c>
      <c r="G33" s="355"/>
      <c r="H33" s="353" t="s">
        <v>426</v>
      </c>
      <c r="I33" s="348" t="str">
        <f t="shared" si="0"/>
        <v/>
      </c>
      <c r="J33" s="522" t="str">
        <f>IF(ISBLANK(B33)," ",VLOOKUP(B33,Produits!B16:G115,3,))</f>
        <v xml:space="preserve"> </v>
      </c>
      <c r="K33" s="422"/>
      <c r="L33" s="427"/>
      <c r="M33" s="349" t="str">
        <f>IFERROR(VLOOKUP(L33,Carton!$B$5:$J$61,7,),"-")</f>
        <v>-</v>
      </c>
      <c r="N33" s="350" t="str">
        <f>IFERROR(VLOOKUP(L33,Carton!$B$5:$J$61,9,),"-")</f>
        <v>-</v>
      </c>
      <c r="O33" s="296"/>
      <c r="P33" s="296"/>
      <c r="Q33" s="311"/>
      <c r="R33" s="296"/>
      <c r="T33" s="300"/>
      <c r="U33" s="300"/>
      <c r="V33" s="300"/>
      <c r="W33" s="300"/>
      <c r="X33" s="300"/>
      <c r="Y33" s="300"/>
      <c r="AA33" s="300"/>
    </row>
    <row r="34" spans="1:27" ht="15" thickBot="1">
      <c r="A34" s="392"/>
      <c r="B34" s="175"/>
      <c r="C34" s="474" t="str">
        <f>IF(ISBLANK(B34)," ",VLOOKUP(B34,Produits!$B$3:$C$102,2,))</f>
        <v xml:space="preserve"> </v>
      </c>
      <c r="D34" s="406"/>
      <c r="E34" s="408"/>
      <c r="F34" s="254" t="str">
        <f t="shared" si="1"/>
        <v xml:space="preserve"> </v>
      </c>
      <c r="G34" s="355"/>
      <c r="H34" s="353" t="s">
        <v>427</v>
      </c>
      <c r="I34" s="348" t="str">
        <f t="shared" si="0"/>
        <v/>
      </c>
      <c r="J34" s="522" t="str">
        <f>IF(ISBLANK(B34)," ",VLOOKUP(B34,Produits!B17:G116,3,))</f>
        <v xml:space="preserve"> </v>
      </c>
      <c r="K34" s="422"/>
      <c r="L34" s="427"/>
      <c r="M34" s="349" t="str">
        <f>IFERROR(VLOOKUP(L34,Carton!$B$5:$J$61,7,),"-")</f>
        <v>-</v>
      </c>
      <c r="N34" s="350" t="str">
        <f>IFERROR(VLOOKUP(L34,Carton!$B$5:$J$61,9,),"-")</f>
        <v>-</v>
      </c>
      <c r="O34" s="296"/>
      <c r="P34" s="296"/>
      <c r="Q34" s="311"/>
      <c r="R34" s="296"/>
      <c r="T34" s="300"/>
      <c r="U34" s="300"/>
      <c r="V34" s="300"/>
      <c r="W34" s="300"/>
      <c r="X34" s="300"/>
      <c r="Y34" s="300"/>
      <c r="AA34" s="300"/>
    </row>
    <row r="35" spans="1:27" ht="15" thickBot="1">
      <c r="A35" s="392"/>
      <c r="B35" s="175"/>
      <c r="C35" s="474" t="str">
        <f>IF(ISBLANK(B35)," ",VLOOKUP(B35,Produits!$B$3:$C$102,2,))</f>
        <v xml:space="preserve"> </v>
      </c>
      <c r="D35" s="406"/>
      <c r="E35" s="409"/>
      <c r="F35" s="254" t="str">
        <f t="shared" si="1"/>
        <v xml:space="preserve"> </v>
      </c>
      <c r="G35" s="355"/>
      <c r="H35" s="353" t="s">
        <v>428</v>
      </c>
      <c r="I35" s="348" t="str">
        <f t="shared" si="0"/>
        <v/>
      </c>
      <c r="J35" s="522" t="str">
        <f>IF(ISBLANK(B35)," ",VLOOKUP(B35,Produits!B18:G117,3,))</f>
        <v xml:space="preserve"> </v>
      </c>
      <c r="K35" s="422"/>
      <c r="L35" s="427"/>
      <c r="M35" s="349" t="str">
        <f>IFERROR(VLOOKUP(L35,Carton!$B$5:$J$61,7,),"-")</f>
        <v>-</v>
      </c>
      <c r="N35" s="350" t="str">
        <f>IFERROR(VLOOKUP(L35,Carton!$B$5:$J$61,9,),"-")</f>
        <v>-</v>
      </c>
      <c r="O35" s="296"/>
      <c r="P35" s="296"/>
      <c r="Q35" s="311"/>
      <c r="R35" s="296"/>
      <c r="T35" s="300"/>
      <c r="U35" s="300"/>
      <c r="V35" s="300"/>
      <c r="W35" s="300"/>
      <c r="X35" s="300"/>
      <c r="Y35" s="300"/>
      <c r="AA35" s="300"/>
    </row>
    <row r="36" spans="1:27" ht="15" thickBot="1">
      <c r="A36" s="392"/>
      <c r="B36" s="175"/>
      <c r="C36" s="474" t="str">
        <f>IF(ISBLANK(B36)," ",VLOOKUP(B36,Produits!$B$3:$C$102,2,))</f>
        <v xml:space="preserve"> </v>
      </c>
      <c r="D36" s="406"/>
      <c r="E36" s="409"/>
      <c r="F36" s="254" t="str">
        <f t="shared" si="1"/>
        <v xml:space="preserve"> </v>
      </c>
      <c r="G36" s="355"/>
      <c r="H36" s="353" t="s">
        <v>429</v>
      </c>
      <c r="I36" s="348" t="str">
        <f t="shared" si="0"/>
        <v/>
      </c>
      <c r="J36" s="522" t="str">
        <f>IF(ISBLANK(B36)," ",VLOOKUP(B36,Produits!B19:G118,3,))</f>
        <v xml:space="preserve"> </v>
      </c>
      <c r="K36" s="422"/>
      <c r="L36" s="427"/>
      <c r="M36" s="349" t="str">
        <f>IFERROR(VLOOKUP(L36,Carton!$B$5:$J$61,7,),"-")</f>
        <v>-</v>
      </c>
      <c r="N36" s="350" t="str">
        <f>IFERROR(VLOOKUP(L36,Carton!$B$5:$J$61,9,),"-")</f>
        <v>-</v>
      </c>
      <c r="O36" s="296"/>
      <c r="P36" s="296"/>
      <c r="Q36" s="311"/>
      <c r="R36" s="296"/>
      <c r="T36" s="300"/>
      <c r="U36" s="300"/>
      <c r="V36" s="300"/>
      <c r="W36" s="300"/>
      <c r="X36" s="300"/>
      <c r="Y36" s="300"/>
      <c r="AA36" s="300"/>
    </row>
    <row r="37" spans="1:27" ht="15" thickBot="1">
      <c r="A37" s="392"/>
      <c r="B37" s="175"/>
      <c r="C37" s="474" t="str">
        <f>IF(ISBLANK(B37)," ",VLOOKUP(B37,Produits!$B$3:$C$102,2,))</f>
        <v xml:space="preserve"> </v>
      </c>
      <c r="D37" s="406"/>
      <c r="E37" s="409"/>
      <c r="F37" s="254" t="str">
        <f t="shared" si="1"/>
        <v xml:space="preserve"> </v>
      </c>
      <c r="G37" s="355"/>
      <c r="H37" s="353" t="s">
        <v>430</v>
      </c>
      <c r="I37" s="348" t="str">
        <f t="shared" si="0"/>
        <v/>
      </c>
      <c r="J37" s="522" t="str">
        <f>IF(ISBLANK(B37)," ",VLOOKUP(B37,Produits!B20:G119,3,))</f>
        <v xml:space="preserve"> </v>
      </c>
      <c r="K37" s="422"/>
      <c r="L37" s="427"/>
      <c r="M37" s="349" t="str">
        <f>IFERROR(VLOOKUP(L37,Carton!$B$5:$J$61,7,),"-")</f>
        <v>-</v>
      </c>
      <c r="N37" s="350" t="str">
        <f>IFERROR(VLOOKUP(L37,Carton!$B$5:$J$61,9,),"-")</f>
        <v>-</v>
      </c>
      <c r="O37" s="296"/>
      <c r="P37" s="296"/>
      <c r="Q37" s="311"/>
      <c r="R37" s="296"/>
      <c r="T37" s="300"/>
      <c r="U37" s="300"/>
      <c r="V37" s="300"/>
      <c r="W37" s="300"/>
      <c r="X37" s="300"/>
      <c r="Y37" s="300"/>
      <c r="AA37" s="300"/>
    </row>
    <row r="38" spans="1:27" ht="15" thickBot="1">
      <c r="A38" s="392"/>
      <c r="B38" s="175"/>
      <c r="C38" s="474" t="str">
        <f>IF(ISBLANK(B38)," ",VLOOKUP(B38,Produits!$B$3:$C$102,2,))</f>
        <v xml:space="preserve"> </v>
      </c>
      <c r="D38" s="410"/>
      <c r="E38" s="409"/>
      <c r="F38" s="254" t="str">
        <f t="shared" si="1"/>
        <v xml:space="preserve"> </v>
      </c>
      <c r="G38" s="355"/>
      <c r="H38" s="353" t="s">
        <v>431</v>
      </c>
      <c r="I38" s="348" t="str">
        <f t="shared" si="0"/>
        <v/>
      </c>
      <c r="J38" s="522" t="str">
        <f>IF(ISBLANK(B38)," ",VLOOKUP(B38,Produits!B21:G120,3,))</f>
        <v xml:space="preserve"> </v>
      </c>
      <c r="K38" s="422"/>
      <c r="L38" s="427"/>
      <c r="M38" s="349" t="str">
        <f>IFERROR(VLOOKUP(L38,Carton!$B$5:$J$61,7,),"-")</f>
        <v>-</v>
      </c>
      <c r="N38" s="350" t="str">
        <f>IFERROR(VLOOKUP(L38,Carton!$B$5:$J$61,9,),"-")</f>
        <v>-</v>
      </c>
      <c r="O38" s="296"/>
      <c r="P38" s="296"/>
      <c r="Q38" s="311"/>
      <c r="R38" s="296"/>
      <c r="T38" s="300"/>
      <c r="U38" s="300"/>
      <c r="V38" s="300"/>
      <c r="W38" s="300"/>
      <c r="X38" s="300"/>
      <c r="Y38" s="300"/>
      <c r="AA38" s="300"/>
    </row>
    <row r="39" spans="1:27" ht="15" thickBot="1">
      <c r="A39" s="392"/>
      <c r="B39" s="175"/>
      <c r="C39" s="474" t="str">
        <f>IF(ISBLANK(B39)," ",VLOOKUP(B39,Produits!$B$3:$C$102,2,))</f>
        <v xml:space="preserve"> </v>
      </c>
      <c r="D39" s="406"/>
      <c r="E39" s="409"/>
      <c r="F39" s="254" t="str">
        <f t="shared" si="1"/>
        <v xml:space="preserve"> </v>
      </c>
      <c r="G39" s="355"/>
      <c r="H39" s="353" t="s">
        <v>432</v>
      </c>
      <c r="I39" s="348" t="str">
        <f t="shared" si="0"/>
        <v/>
      </c>
      <c r="J39" s="522" t="str">
        <f>IF(ISBLANK(B39)," ",VLOOKUP(B39,Produits!B22:G121,3,))</f>
        <v xml:space="preserve"> </v>
      </c>
      <c r="K39" s="422"/>
      <c r="L39" s="427"/>
      <c r="M39" s="349" t="str">
        <f>IFERROR(VLOOKUP(L39,Carton!$B$5:$J$61,7,),"-")</f>
        <v>-</v>
      </c>
      <c r="N39" s="350" t="str">
        <f>IFERROR(VLOOKUP(L39,Carton!$B$5:$J$61,9,),"-")</f>
        <v>-</v>
      </c>
      <c r="O39" s="296"/>
      <c r="P39" s="296"/>
      <c r="Q39" s="311"/>
      <c r="R39" s="296"/>
      <c r="T39" s="300"/>
      <c r="U39" s="300"/>
      <c r="V39" s="300"/>
      <c r="W39" s="300"/>
      <c r="X39" s="300"/>
      <c r="Y39" s="300"/>
      <c r="AA39" s="300"/>
    </row>
    <row r="40" spans="1:27" ht="15" thickBot="1">
      <c r="A40" s="392"/>
      <c r="B40" s="175"/>
      <c r="C40" s="474" t="str">
        <f>IF(ISBLANK(B40)," ",VLOOKUP(B40,Produits!$B$3:$C$102,2,))</f>
        <v xml:space="preserve"> </v>
      </c>
      <c r="D40" s="406"/>
      <c r="E40" s="409"/>
      <c r="F40" s="254" t="str">
        <f t="shared" si="1"/>
        <v xml:space="preserve"> </v>
      </c>
      <c r="G40" s="355"/>
      <c r="H40" s="353" t="s">
        <v>433</v>
      </c>
      <c r="I40" s="348" t="str">
        <f t="shared" si="0"/>
        <v/>
      </c>
      <c r="J40" s="522" t="str">
        <f>IF(ISBLANK(B40)," ",VLOOKUP(B40,Produits!B23:G122,3,))</f>
        <v xml:space="preserve"> </v>
      </c>
      <c r="K40" s="422"/>
      <c r="L40" s="427"/>
      <c r="M40" s="349" t="str">
        <f>IFERROR(VLOOKUP(L40,Carton!$B$5:$J$61,7,),"-")</f>
        <v>-</v>
      </c>
      <c r="N40" s="350" t="str">
        <f>IFERROR(VLOOKUP(L40,Carton!$B$5:$J$61,9,),"-")</f>
        <v>-</v>
      </c>
      <c r="O40" s="296"/>
      <c r="P40" s="296"/>
      <c r="Q40" s="311"/>
      <c r="R40" s="296"/>
      <c r="T40" s="300"/>
      <c r="U40" s="300"/>
      <c r="V40" s="300"/>
      <c r="W40" s="300"/>
      <c r="X40" s="300"/>
      <c r="Y40" s="300"/>
      <c r="AA40" s="300"/>
    </row>
    <row r="41" spans="1:27" ht="15" thickBot="1">
      <c r="A41" s="392"/>
      <c r="B41" s="175"/>
      <c r="C41" s="474" t="str">
        <f>IF(ISBLANK(B41)," ",VLOOKUP(B41,Produits!$B$3:$C$102,2,))</f>
        <v xml:space="preserve"> </v>
      </c>
      <c r="D41" s="406"/>
      <c r="E41" s="409"/>
      <c r="F41" s="254" t="str">
        <f t="shared" si="1"/>
        <v xml:space="preserve"> </v>
      </c>
      <c r="G41" s="355"/>
      <c r="H41" s="353" t="s">
        <v>434</v>
      </c>
      <c r="I41" s="348" t="str">
        <f t="shared" si="0"/>
        <v/>
      </c>
      <c r="J41" s="522" t="str">
        <f>IF(ISBLANK(B41)," ",VLOOKUP(B41,Produits!B24:G123,3,))</f>
        <v xml:space="preserve"> </v>
      </c>
      <c r="K41" s="422"/>
      <c r="L41" s="427"/>
      <c r="M41" s="349" t="str">
        <f>IFERROR(VLOOKUP(L41,Carton!$B$5:$J$61,7,),"-")</f>
        <v>-</v>
      </c>
      <c r="N41" s="350" t="str">
        <f>IFERROR(VLOOKUP(L41,Carton!$B$5:$J$61,9,),"-")</f>
        <v>-</v>
      </c>
      <c r="O41" s="296"/>
      <c r="P41" s="296"/>
      <c r="Q41" s="311"/>
      <c r="R41" s="296"/>
      <c r="T41" s="300"/>
      <c r="U41" s="300"/>
      <c r="V41" s="300"/>
      <c r="W41" s="300"/>
      <c r="X41" s="300"/>
      <c r="Y41" s="300"/>
      <c r="AA41" s="300"/>
    </row>
    <row r="42" spans="1:27" ht="15" thickBot="1">
      <c r="A42" s="392"/>
      <c r="B42" s="175"/>
      <c r="C42" s="474" t="str">
        <f>IF(ISBLANK(B42)," ",VLOOKUP(B42,Produits!$B$3:$C$102,2,))</f>
        <v xml:space="preserve"> </v>
      </c>
      <c r="D42" s="406"/>
      <c r="E42" s="409"/>
      <c r="F42" s="254" t="str">
        <f t="shared" si="1"/>
        <v xml:space="preserve"> </v>
      </c>
      <c r="G42" s="355"/>
      <c r="H42" s="353" t="s">
        <v>435</v>
      </c>
      <c r="I42" s="348" t="str">
        <f t="shared" si="0"/>
        <v/>
      </c>
      <c r="J42" s="522" t="str">
        <f>IF(ISBLANK(B42)," ",VLOOKUP(B42,Produits!B25:G124,3,))</f>
        <v xml:space="preserve"> </v>
      </c>
      <c r="K42" s="422"/>
      <c r="L42" s="427"/>
      <c r="M42" s="349" t="str">
        <f>IFERROR(VLOOKUP(L42,Carton!$B$5:$J$61,7,),"-")</f>
        <v>-</v>
      </c>
      <c r="N42" s="350" t="str">
        <f>IFERROR(VLOOKUP(L42,Carton!$B$5:$J$61,9,),"-")</f>
        <v>-</v>
      </c>
      <c r="O42" s="296"/>
      <c r="P42" s="296"/>
      <c r="Q42" s="311"/>
      <c r="R42" s="296"/>
      <c r="T42" s="300"/>
      <c r="U42" s="300"/>
      <c r="V42" s="300"/>
      <c r="W42" s="300"/>
      <c r="X42" s="300"/>
      <c r="Y42" s="300"/>
      <c r="AA42" s="300"/>
    </row>
    <row r="43" spans="1:27" ht="15" thickBot="1">
      <c r="A43" s="392"/>
      <c r="B43" s="175"/>
      <c r="C43" s="474" t="str">
        <f>IF(ISBLANK(B43)," ",VLOOKUP(B43,Produits!$B$3:$C$102,2,))</f>
        <v xml:space="preserve"> </v>
      </c>
      <c r="D43" s="406"/>
      <c r="E43" s="409"/>
      <c r="F43" s="254" t="str">
        <f t="shared" si="1"/>
        <v xml:space="preserve"> </v>
      </c>
      <c r="G43" s="355"/>
      <c r="H43" s="353" t="s">
        <v>436</v>
      </c>
      <c r="I43" s="348" t="str">
        <f t="shared" si="0"/>
        <v/>
      </c>
      <c r="J43" s="522" t="str">
        <f>IF(ISBLANK(B43)," ",VLOOKUP(B43,Produits!B26:G125,3,))</f>
        <v xml:space="preserve"> </v>
      </c>
      <c r="K43" s="422"/>
      <c r="L43" s="427"/>
      <c r="M43" s="349" t="str">
        <f>IFERROR(VLOOKUP(L43,Carton!$B$5:$J$61,7,),"-")</f>
        <v>-</v>
      </c>
      <c r="N43" s="350" t="str">
        <f>IFERROR(VLOOKUP(L43,Carton!$B$5:$J$61,9,),"-")</f>
        <v>-</v>
      </c>
      <c r="O43" s="296"/>
      <c r="P43" s="296"/>
      <c r="Q43" s="311"/>
      <c r="R43" s="296"/>
      <c r="T43" s="300"/>
      <c r="U43" s="300"/>
      <c r="V43" s="300"/>
      <c r="W43" s="300"/>
      <c r="X43" s="300"/>
      <c r="Y43" s="300"/>
      <c r="AA43" s="300"/>
    </row>
    <row r="44" spans="1:27" ht="15" thickBot="1">
      <c r="A44" s="392"/>
      <c r="B44" s="175"/>
      <c r="C44" s="474" t="str">
        <f>IF(ISBLANK(B44)," ",VLOOKUP(B44,Produits!$B$3:$C$102,2,))</f>
        <v xml:space="preserve"> </v>
      </c>
      <c r="D44" s="406"/>
      <c r="E44" s="409"/>
      <c r="F44" s="254" t="str">
        <f t="shared" si="1"/>
        <v xml:space="preserve"> </v>
      </c>
      <c r="G44" s="355"/>
      <c r="H44" s="353" t="s">
        <v>438</v>
      </c>
      <c r="I44" s="348" t="str">
        <f t="shared" si="0"/>
        <v/>
      </c>
      <c r="J44" s="522" t="str">
        <f>IF(ISBLANK(B44)," ",VLOOKUP(B44,Produits!B27:G126,3,))</f>
        <v xml:space="preserve"> </v>
      </c>
      <c r="K44" s="422"/>
      <c r="L44" s="427"/>
      <c r="M44" s="349" t="str">
        <f>IFERROR(VLOOKUP(L44,Carton!$B$5:$J$61,7,),"-")</f>
        <v>-</v>
      </c>
      <c r="N44" s="350" t="str">
        <f>IFERROR(VLOOKUP(L44,Carton!$B$5:$J$61,9,),"-")</f>
        <v>-</v>
      </c>
      <c r="O44" s="296"/>
      <c r="P44" s="296"/>
      <c r="Q44" s="311"/>
      <c r="R44" s="296"/>
      <c r="T44" s="300"/>
      <c r="U44" s="300"/>
      <c r="V44" s="300"/>
      <c r="W44" s="300"/>
      <c r="X44" s="300"/>
      <c r="Y44" s="300"/>
      <c r="AA44" s="300"/>
    </row>
    <row r="45" spans="1:27" ht="15" thickBot="1">
      <c r="A45" s="392"/>
      <c r="B45" s="175"/>
      <c r="C45" s="474" t="str">
        <f>IF(ISBLANK(B45)," ",VLOOKUP(B45,Produits!$B$3:$C$102,2,))</f>
        <v xml:space="preserve"> </v>
      </c>
      <c r="D45" s="406"/>
      <c r="E45" s="409"/>
      <c r="F45" s="254" t="str">
        <f t="shared" si="1"/>
        <v xml:space="preserve"> </v>
      </c>
      <c r="G45" s="355"/>
      <c r="H45" s="353" t="s">
        <v>439</v>
      </c>
      <c r="I45" s="348" t="str">
        <f t="shared" si="0"/>
        <v/>
      </c>
      <c r="J45" s="522" t="str">
        <f>IF(ISBLANK(B45)," ",VLOOKUP(B45,Produits!B28:G127,3,))</f>
        <v xml:space="preserve"> </v>
      </c>
      <c r="K45" s="423"/>
      <c r="L45" s="427"/>
      <c r="M45" s="349" t="str">
        <f>IFERROR(VLOOKUP(L45,Carton!$B$5:$J$61,7,),"-")</f>
        <v>-</v>
      </c>
      <c r="N45" s="350" t="str">
        <f>IFERROR(VLOOKUP(L45,Carton!$B$5:$J$61,9,),"-")</f>
        <v>-</v>
      </c>
      <c r="O45" s="296"/>
      <c r="P45" s="296"/>
      <c r="Q45" s="311"/>
      <c r="R45" s="296"/>
      <c r="T45" s="300"/>
      <c r="U45" s="300"/>
      <c r="V45" s="300"/>
      <c r="W45" s="300"/>
      <c r="X45" s="300"/>
      <c r="Y45" s="300"/>
      <c r="AA45" s="300"/>
    </row>
    <row r="46" spans="1:27" ht="15" thickBot="1">
      <c r="A46" s="392"/>
      <c r="B46" s="175"/>
      <c r="C46" s="474" t="str">
        <f>IF(ISBLANK(B46)," ",VLOOKUP(B46,Produits!$B$3:$C$102,2,))</f>
        <v xml:space="preserve"> </v>
      </c>
      <c r="D46" s="406"/>
      <c r="E46" s="409"/>
      <c r="F46" s="254" t="str">
        <f t="shared" si="1"/>
        <v xml:space="preserve"> </v>
      </c>
      <c r="G46" s="355"/>
      <c r="H46" s="353" t="s">
        <v>440</v>
      </c>
      <c r="I46" s="348" t="str">
        <f t="shared" si="0"/>
        <v/>
      </c>
      <c r="J46" s="522" t="str">
        <f>IF(ISBLANK(B46)," ",VLOOKUP(B46,Produits!B29:G128,3,))</f>
        <v xml:space="preserve"> </v>
      </c>
      <c r="K46" s="423"/>
      <c r="L46" s="427"/>
      <c r="M46" s="349" t="str">
        <f>IFERROR(VLOOKUP(L46,Carton!$B$5:$J$61,7,),"-")</f>
        <v>-</v>
      </c>
      <c r="N46" s="350" t="str">
        <f>IFERROR(VLOOKUP(L46,Carton!$B$5:$J$61,9,),"-")</f>
        <v>-</v>
      </c>
      <c r="O46" s="296"/>
      <c r="P46" s="296"/>
      <c r="Q46" s="311"/>
      <c r="R46" s="296"/>
      <c r="T46" s="300"/>
      <c r="U46" s="300"/>
      <c r="V46" s="300"/>
      <c r="W46" s="300"/>
      <c r="X46" s="300"/>
      <c r="Y46" s="300"/>
      <c r="AA46" s="300"/>
    </row>
    <row r="47" spans="1:27" ht="15" thickBot="1">
      <c r="A47" s="392"/>
      <c r="B47" s="175"/>
      <c r="C47" s="474" t="str">
        <f>IF(ISBLANK(B47)," ",VLOOKUP(B47,Produits!$B$3:$C$102,2,))</f>
        <v xml:space="preserve"> </v>
      </c>
      <c r="D47" s="406"/>
      <c r="E47" s="409"/>
      <c r="F47" s="254" t="str">
        <f t="shared" si="1"/>
        <v xml:space="preserve"> </v>
      </c>
      <c r="G47" s="355"/>
      <c r="H47" s="353" t="s">
        <v>441</v>
      </c>
      <c r="I47" s="348" t="str">
        <f t="shared" si="0"/>
        <v/>
      </c>
      <c r="J47" s="522" t="str">
        <f>IF(ISBLANK(B47)," ",VLOOKUP(B47,Produits!B30:G129,3,))</f>
        <v xml:space="preserve"> </v>
      </c>
      <c r="K47" s="423"/>
      <c r="L47" s="427"/>
      <c r="M47" s="349" t="str">
        <f>IFERROR(VLOOKUP(L47,Carton!$B$5:$J$61,7,),"-")</f>
        <v>-</v>
      </c>
      <c r="N47" s="350" t="str">
        <f>IFERROR(VLOOKUP(L47,Carton!$B$5:$J$61,9,),"-")</f>
        <v>-</v>
      </c>
      <c r="O47" s="311"/>
      <c r="P47" s="296"/>
      <c r="Q47" s="296"/>
      <c r="R47" s="296"/>
      <c r="T47" s="300"/>
      <c r="U47" s="300"/>
      <c r="V47" s="300"/>
      <c r="W47" s="300"/>
      <c r="X47" s="300"/>
      <c r="Y47" s="300"/>
      <c r="AA47" s="300"/>
    </row>
    <row r="48" spans="1:27" ht="15" thickBot="1">
      <c r="A48" s="392"/>
      <c r="B48" s="175"/>
      <c r="C48" s="474" t="str">
        <f>IF(ISBLANK(B48)," ",VLOOKUP(B48,Produits!$B$3:$C$102,2,))</f>
        <v xml:space="preserve"> </v>
      </c>
      <c r="D48" s="406"/>
      <c r="E48" s="409"/>
      <c r="F48" s="254" t="str">
        <f t="shared" si="1"/>
        <v xml:space="preserve"> </v>
      </c>
      <c r="G48" s="355"/>
      <c r="H48" s="353" t="s">
        <v>442</v>
      </c>
      <c r="I48" s="348" t="str">
        <f t="shared" si="0"/>
        <v/>
      </c>
      <c r="J48" s="522" t="str">
        <f>IF(ISBLANK(B48)," ",VLOOKUP(B48,Produits!B31:G130,3,))</f>
        <v xml:space="preserve"> </v>
      </c>
      <c r="K48" s="423"/>
      <c r="L48" s="427"/>
      <c r="M48" s="349" t="str">
        <f>IFERROR(VLOOKUP(L48,Carton!$B$5:$J$61,7,),"-")</f>
        <v>-</v>
      </c>
      <c r="N48" s="350" t="str">
        <f>IFERROR(VLOOKUP(L48,Carton!$B$5:$J$61,9,),"-")</f>
        <v>-</v>
      </c>
      <c r="O48" s="296"/>
      <c r="P48" s="296"/>
      <c r="Q48" s="296"/>
      <c r="R48" s="296"/>
      <c r="W48" s="311"/>
      <c r="X48" s="300"/>
      <c r="Y48" s="300"/>
      <c r="AA48" s="300"/>
    </row>
    <row r="49" spans="1:27" ht="15" thickBot="1">
      <c r="A49" s="392"/>
      <c r="B49" s="175"/>
      <c r="C49" s="474" t="str">
        <f>IF(ISBLANK(B49)," ",VLOOKUP(B49,Produits!$B$3:$C$102,2,))</f>
        <v xml:space="preserve"> </v>
      </c>
      <c r="D49" s="406"/>
      <c r="E49" s="409"/>
      <c r="F49" s="254" t="str">
        <f t="shared" si="1"/>
        <v xml:space="preserve"> </v>
      </c>
      <c r="G49" s="355"/>
      <c r="H49" s="353" t="s">
        <v>443</v>
      </c>
      <c r="I49" s="348" t="str">
        <f t="shared" si="0"/>
        <v/>
      </c>
      <c r="J49" s="522" t="str">
        <f>IF(ISBLANK(B49)," ",VLOOKUP(B49,Produits!B32:G131,3,))</f>
        <v xml:space="preserve"> </v>
      </c>
      <c r="K49" s="423"/>
      <c r="L49" s="427"/>
      <c r="M49" s="349" t="str">
        <f>IFERROR(VLOOKUP(L49,Carton!$B$5:$J$61,7,),"-")</f>
        <v>-</v>
      </c>
      <c r="N49" s="350" t="str">
        <f>IFERROR(VLOOKUP(L49,Carton!$B$5:$J$61,9,),"-")</f>
        <v>-</v>
      </c>
      <c r="O49" s="299"/>
      <c r="P49" s="296"/>
      <c r="Q49" s="296"/>
      <c r="R49" s="296"/>
      <c r="X49" s="311"/>
      <c r="Y49" s="300"/>
      <c r="AA49" s="300"/>
    </row>
    <row r="50" spans="1:27" ht="15" thickBot="1">
      <c r="A50" s="392"/>
      <c r="B50" s="175"/>
      <c r="C50" s="474" t="str">
        <f>IF(ISBLANK(B50)," ",VLOOKUP(B50,Produits!$B$3:$C$102,2,))</f>
        <v xml:space="preserve"> </v>
      </c>
      <c r="D50" s="406"/>
      <c r="E50" s="409"/>
      <c r="F50" s="254" t="str">
        <f t="shared" si="1"/>
        <v xml:space="preserve"> </v>
      </c>
      <c r="G50" s="355"/>
      <c r="H50" s="353" t="s">
        <v>444</v>
      </c>
      <c r="I50" s="348" t="str">
        <f t="shared" si="0"/>
        <v/>
      </c>
      <c r="J50" s="522" t="str">
        <f>IF(ISBLANK(B50)," ",VLOOKUP(B50,Produits!B33:G132,3,))</f>
        <v xml:space="preserve"> </v>
      </c>
      <c r="K50" s="423"/>
      <c r="L50" s="427"/>
      <c r="M50" s="349" t="str">
        <f>IFERROR(VLOOKUP(L50,Carton!$B$5:$J$61,7,),"-")</f>
        <v>-</v>
      </c>
      <c r="N50" s="350" t="str">
        <f>IFERROR(VLOOKUP(L50,Carton!$B$5:$J$61,9,),"-")</f>
        <v>-</v>
      </c>
      <c r="O50" s="296"/>
      <c r="P50" s="296"/>
      <c r="Q50" s="296"/>
      <c r="R50" s="296"/>
      <c r="X50" s="311"/>
      <c r="Y50" s="300"/>
      <c r="AA50" s="300"/>
    </row>
    <row r="51" spans="1:27" ht="15" thickBot="1">
      <c r="A51" s="392"/>
      <c r="B51" s="175"/>
      <c r="C51" s="474" t="str">
        <f>IF(ISBLANK(B51)," ",VLOOKUP(B51,Produits!$B$3:$C$102,2,))</f>
        <v xml:space="preserve"> </v>
      </c>
      <c r="D51" s="406"/>
      <c r="E51" s="409"/>
      <c r="F51" s="254" t="str">
        <f t="shared" si="1"/>
        <v xml:space="preserve"> </v>
      </c>
      <c r="G51" s="355"/>
      <c r="H51" s="353" t="s">
        <v>445</v>
      </c>
      <c r="I51" s="348" t="str">
        <f t="shared" si="0"/>
        <v/>
      </c>
      <c r="J51" s="522" t="str">
        <f>IF(ISBLANK(B51)," ",VLOOKUP(B51,Produits!B34:G133,3,))</f>
        <v xml:space="preserve"> </v>
      </c>
      <c r="K51" s="423"/>
      <c r="L51" s="427"/>
      <c r="M51" s="349" t="str">
        <f>IFERROR(VLOOKUP(L51,Carton!$B$5:$J$61,7,),"-")</f>
        <v>-</v>
      </c>
      <c r="N51" s="350" t="str">
        <f>IFERROR(VLOOKUP(L51,Carton!$B$5:$J$61,9,),"-")</f>
        <v>-</v>
      </c>
      <c r="O51" s="296"/>
      <c r="P51" s="296"/>
      <c r="Q51" s="296"/>
      <c r="R51" s="296"/>
      <c r="X51" s="311"/>
      <c r="Y51" s="300"/>
      <c r="AA51" s="300"/>
    </row>
    <row r="52" spans="1:27" ht="15" thickBot="1">
      <c r="A52" s="392"/>
      <c r="B52" s="175"/>
      <c r="C52" s="474" t="str">
        <f>IF(ISBLANK(B52)," ",VLOOKUP(B52,Produits!$B$3:$C$102,2,))</f>
        <v xml:space="preserve"> </v>
      </c>
      <c r="D52" s="406"/>
      <c r="E52" s="409"/>
      <c r="F52" s="254" t="str">
        <f t="shared" ref="F52:F79" si="2">IF(ISBLANK(D52)," ",D52*E52)</f>
        <v xml:space="preserve"> </v>
      </c>
      <c r="G52" s="355"/>
      <c r="H52" s="353" t="s">
        <v>446</v>
      </c>
      <c r="I52" s="348" t="str">
        <f t="shared" si="0"/>
        <v/>
      </c>
      <c r="J52" s="522" t="str">
        <f>IF(ISBLANK(B52)," ",VLOOKUP(B52,Produits!B35:G134,3,))</f>
        <v xml:space="preserve"> </v>
      </c>
      <c r="K52" s="423"/>
      <c r="L52" s="427"/>
      <c r="M52" s="349" t="str">
        <f>IFERROR(VLOOKUP(L52,Carton!$B$5:$J$61,7,),"-")</f>
        <v>-</v>
      </c>
      <c r="N52" s="350" t="str">
        <f>IFERROR(VLOOKUP(L52,Carton!$B$5:$J$61,9,),"-")</f>
        <v>-</v>
      </c>
      <c r="O52" s="296"/>
      <c r="P52" s="296"/>
      <c r="Q52" s="296"/>
      <c r="R52" s="296"/>
      <c r="X52" s="311"/>
      <c r="Y52" s="300"/>
      <c r="AA52" s="300"/>
    </row>
    <row r="53" spans="1:27" ht="15" thickBot="1">
      <c r="A53" s="392"/>
      <c r="B53" s="175"/>
      <c r="C53" s="474" t="str">
        <f>IF(ISBLANK(B53)," ",VLOOKUP(B53,Produits!$B$3:$C$102,2,))</f>
        <v xml:space="preserve"> </v>
      </c>
      <c r="D53" s="406"/>
      <c r="E53" s="409"/>
      <c r="F53" s="254" t="str">
        <f t="shared" si="2"/>
        <v xml:space="preserve"> </v>
      </c>
      <c r="G53" s="355"/>
      <c r="H53" s="353" t="s">
        <v>447</v>
      </c>
      <c r="I53" s="348" t="str">
        <f t="shared" si="0"/>
        <v/>
      </c>
      <c r="J53" s="522" t="str">
        <f>IF(ISBLANK(B53)," ",VLOOKUP(B53,Produits!B36:G135,3,))</f>
        <v xml:space="preserve"> </v>
      </c>
      <c r="K53" s="423"/>
      <c r="L53" s="427"/>
      <c r="M53" s="349" t="str">
        <f>IFERROR(VLOOKUP(L53,Carton!$B$5:$J$61,7,),"-")</f>
        <v>-</v>
      </c>
      <c r="N53" s="350" t="str">
        <f>IFERROR(VLOOKUP(L53,Carton!$B$5:$J$61,9,),"-")</f>
        <v>-</v>
      </c>
      <c r="O53" s="296"/>
      <c r="P53" s="296"/>
      <c r="Q53" s="296"/>
      <c r="R53" s="296"/>
      <c r="X53" s="311"/>
      <c r="Y53" s="300"/>
      <c r="AA53" s="300"/>
    </row>
    <row r="54" spans="1:27" ht="15" thickBot="1">
      <c r="A54" s="394"/>
      <c r="B54" s="518"/>
      <c r="C54" s="519" t="str">
        <f>IF(ISBLANK(B54)," ",VLOOKUP(B54,Produits!$B$3:$C$102,2,))</f>
        <v xml:space="preserve"> </v>
      </c>
      <c r="D54" s="411"/>
      <c r="E54" s="412"/>
      <c r="F54" s="356" t="str">
        <f t="shared" si="2"/>
        <v xml:space="preserve"> </v>
      </c>
      <c r="G54" s="357"/>
      <c r="H54" s="358" t="s">
        <v>448</v>
      </c>
      <c r="I54" s="359" t="str">
        <f t="shared" si="0"/>
        <v/>
      </c>
      <c r="J54" s="522" t="str">
        <f>IF(ISBLANK(B54)," ",VLOOKUP(B54,Produits!B37:G136,3,))</f>
        <v xml:space="preserve"> </v>
      </c>
      <c r="K54" s="423"/>
      <c r="L54" s="427"/>
      <c r="M54" s="349" t="str">
        <f>IFERROR(VLOOKUP(L54,Carton!$B$5:$J$61,7,),"-")</f>
        <v>-</v>
      </c>
      <c r="N54" s="350" t="str">
        <f>IFERROR(VLOOKUP(L54,Carton!$B$5:$J$61,9,),"-")</f>
        <v>-</v>
      </c>
      <c r="O54" s="296"/>
      <c r="P54" s="296"/>
      <c r="Q54" s="296"/>
      <c r="R54" s="296"/>
      <c r="X54" s="311"/>
      <c r="Y54" s="300"/>
      <c r="AA54" s="300"/>
    </row>
    <row r="55" spans="1:27" ht="15" thickBot="1">
      <c r="A55" s="395"/>
      <c r="B55" s="175"/>
      <c r="C55" s="474" t="str">
        <f>IF(ISBLANK(B55)," ",VLOOKUP(B55,Produits!$B$3:$C$102,2,))</f>
        <v xml:space="preserve"> </v>
      </c>
      <c r="D55" s="406"/>
      <c r="E55" s="409"/>
      <c r="F55" s="360" t="str">
        <f t="shared" si="2"/>
        <v xml:space="preserve"> </v>
      </c>
      <c r="G55" s="361"/>
      <c r="H55" s="347" t="s">
        <v>449</v>
      </c>
      <c r="I55" s="348" t="str">
        <f t="shared" si="0"/>
        <v/>
      </c>
      <c r="J55" s="522" t="str">
        <f>IF(ISBLANK(B55)," ",VLOOKUP(B55,Produits!B38:G137,3,))</f>
        <v xml:space="preserve"> </v>
      </c>
      <c r="K55" s="423"/>
      <c r="L55" s="427"/>
      <c r="M55" s="349" t="str">
        <f>IFERROR(VLOOKUP(L55,Carton!$B$5:$J$61,7,),"-")</f>
        <v>-</v>
      </c>
      <c r="N55" s="350" t="str">
        <f>IFERROR(VLOOKUP(L55,Carton!$B$5:$J$61,9,),"-")</f>
        <v>-</v>
      </c>
      <c r="O55" s="296"/>
      <c r="P55" s="296"/>
      <c r="Q55" s="296"/>
      <c r="R55" s="296"/>
      <c r="X55" s="311"/>
      <c r="Y55" s="300"/>
      <c r="AA55" s="300"/>
    </row>
    <row r="56" spans="1:27" ht="15" thickBot="1">
      <c r="A56" s="392"/>
      <c r="B56" s="175"/>
      <c r="C56" s="474" t="str">
        <f>IF(ISBLANK(B56)," ",VLOOKUP(B56,Produits!$B$3:$C$102,2,))</f>
        <v xml:space="preserve"> </v>
      </c>
      <c r="D56" s="406"/>
      <c r="E56" s="409"/>
      <c r="F56" s="254" t="str">
        <f t="shared" si="2"/>
        <v xml:space="preserve"> </v>
      </c>
      <c r="G56" s="362"/>
      <c r="H56" s="353" t="s">
        <v>450</v>
      </c>
      <c r="I56" s="348" t="str">
        <f t="shared" si="0"/>
        <v/>
      </c>
      <c r="J56" s="522" t="str">
        <f>IF(ISBLANK(B56)," ",VLOOKUP(B56,Produits!B39:G138,3,))</f>
        <v xml:space="preserve"> </v>
      </c>
      <c r="K56" s="423"/>
      <c r="L56" s="427"/>
      <c r="M56" s="349" t="str">
        <f>IFERROR(VLOOKUP(L56,Carton!$B$5:$J$61,7,),"-")</f>
        <v>-</v>
      </c>
      <c r="N56" s="350" t="str">
        <f>IFERROR(VLOOKUP(L56,Carton!$B$5:$J$61,9,),"-")</f>
        <v>-</v>
      </c>
      <c r="O56" s="296"/>
      <c r="P56" s="296"/>
      <c r="Q56" s="296"/>
      <c r="R56" s="296"/>
      <c r="X56" s="311"/>
      <c r="Y56" s="300"/>
      <c r="AA56" s="300"/>
    </row>
    <row r="57" spans="1:27" ht="15" thickBot="1">
      <c r="A57" s="392"/>
      <c r="B57" s="175"/>
      <c r="C57" s="474" t="str">
        <f>IF(ISBLANK(B57)," ",VLOOKUP(B57,Produits!$B$3:$C$102,2,))</f>
        <v xml:space="preserve"> </v>
      </c>
      <c r="D57" s="406"/>
      <c r="E57" s="409"/>
      <c r="F57" s="254" t="str">
        <f t="shared" si="2"/>
        <v xml:space="preserve"> </v>
      </c>
      <c r="G57" s="355"/>
      <c r="H57" s="353" t="s">
        <v>451</v>
      </c>
      <c r="I57" s="348" t="str">
        <f t="shared" si="0"/>
        <v/>
      </c>
      <c r="J57" s="522" t="str">
        <f>IF(ISBLANK(B57)," ",VLOOKUP(B57,Produits!B40:G139,3,))</f>
        <v xml:space="preserve"> </v>
      </c>
      <c r="K57" s="423"/>
      <c r="L57" s="427"/>
      <c r="M57" s="349" t="str">
        <f>IFERROR(VLOOKUP(L57,Carton!$B$5:$J$61,7,),"-")</f>
        <v>-</v>
      </c>
      <c r="N57" s="350" t="str">
        <f>IFERROR(VLOOKUP(L57,Carton!$B$5:$J$61,9,),"-")</f>
        <v>-</v>
      </c>
      <c r="O57" s="296"/>
      <c r="P57" s="296"/>
      <c r="Q57" s="296"/>
      <c r="R57" s="296"/>
      <c r="X57" s="311"/>
      <c r="Y57" s="300"/>
      <c r="AA57" s="300"/>
    </row>
    <row r="58" spans="1:27" ht="15" thickBot="1">
      <c r="A58" s="392"/>
      <c r="B58" s="175"/>
      <c r="C58" s="474" t="str">
        <f>IF(ISBLANK(B58)," ",VLOOKUP(B58,Produits!$B$3:$C$102,2,))</f>
        <v xml:space="preserve"> </v>
      </c>
      <c r="D58" s="406"/>
      <c r="E58" s="409"/>
      <c r="F58" s="254" t="str">
        <f t="shared" si="2"/>
        <v xml:space="preserve"> </v>
      </c>
      <c r="G58" s="355"/>
      <c r="H58" s="353" t="s">
        <v>452</v>
      </c>
      <c r="I58" s="348" t="str">
        <f t="shared" si="0"/>
        <v/>
      </c>
      <c r="J58" s="522" t="str">
        <f>IF(ISBLANK(B58)," ",VLOOKUP(B58,Produits!B41:G140,3,))</f>
        <v xml:space="preserve"> </v>
      </c>
      <c r="K58" s="423"/>
      <c r="L58" s="427"/>
      <c r="M58" s="349" t="str">
        <f>IFERROR(VLOOKUP(L58,Carton!$B$5:$J$61,7,),"-")</f>
        <v>-</v>
      </c>
      <c r="N58" s="350" t="str">
        <f>IFERROR(VLOOKUP(L58,Carton!$B$5:$J$61,9,),"-")</f>
        <v>-</v>
      </c>
      <c r="O58" s="296"/>
      <c r="P58" s="296"/>
      <c r="Q58" s="296"/>
      <c r="R58" s="296"/>
      <c r="X58" s="311"/>
      <c r="Y58" s="300"/>
      <c r="AA58" s="300"/>
    </row>
    <row r="59" spans="1:27" ht="15" thickBot="1">
      <c r="A59" s="392"/>
      <c r="B59" s="175"/>
      <c r="C59" s="474" t="str">
        <f>IF(ISBLANK(B59)," ",VLOOKUP(B59,Produits!$B$3:$C$102,2,))</f>
        <v xml:space="preserve"> </v>
      </c>
      <c r="D59" s="406"/>
      <c r="E59" s="409"/>
      <c r="F59" s="254" t="str">
        <f t="shared" si="2"/>
        <v xml:space="preserve"> </v>
      </c>
      <c r="G59" s="355"/>
      <c r="H59" s="353" t="s">
        <v>453</v>
      </c>
      <c r="I59" s="348" t="str">
        <f t="shared" si="0"/>
        <v/>
      </c>
      <c r="J59" s="522" t="str">
        <f>IF(ISBLANK(B59)," ",VLOOKUP(B59,Produits!B42:G141,3,))</f>
        <v xml:space="preserve"> </v>
      </c>
      <c r="K59" s="423"/>
      <c r="L59" s="427"/>
      <c r="M59" s="349" t="str">
        <f>IFERROR(VLOOKUP(L59,Carton!$B$5:$J$61,7,),"-")</f>
        <v>-</v>
      </c>
      <c r="N59" s="350" t="str">
        <f>IFERROR(VLOOKUP(L59,Carton!$B$5:$J$61,9,),"-")</f>
        <v>-</v>
      </c>
      <c r="O59" s="296"/>
      <c r="P59" s="296"/>
      <c r="Q59" s="296"/>
      <c r="R59" s="296"/>
      <c r="X59" s="311"/>
      <c r="Y59" s="300"/>
      <c r="AA59" s="300"/>
    </row>
    <row r="60" spans="1:27" ht="15" thickBot="1">
      <c r="A60" s="392"/>
      <c r="B60" s="175"/>
      <c r="C60" s="474" t="str">
        <f>IF(ISBLANK(B60)," ",VLOOKUP(B60,Produits!$B$3:$C$102,2,))</f>
        <v xml:space="preserve"> </v>
      </c>
      <c r="D60" s="406"/>
      <c r="E60" s="409"/>
      <c r="F60" s="254" t="str">
        <f t="shared" si="2"/>
        <v xml:space="preserve"> </v>
      </c>
      <c r="G60" s="355"/>
      <c r="H60" s="353" t="s">
        <v>454</v>
      </c>
      <c r="I60" s="348" t="str">
        <f t="shared" si="0"/>
        <v/>
      </c>
      <c r="J60" s="522" t="str">
        <f>IF(ISBLANK(B60)," ",VLOOKUP(B60,Produits!B43:G142,3,))</f>
        <v xml:space="preserve"> </v>
      </c>
      <c r="K60" s="423"/>
      <c r="L60" s="427"/>
      <c r="M60" s="349" t="str">
        <f>IFERROR(VLOOKUP(L60,Carton!$B$5:$J$61,7,),"-")</f>
        <v>-</v>
      </c>
      <c r="N60" s="350" t="str">
        <f>IFERROR(VLOOKUP(L60,Carton!$B$5:$J$61,9,),"-")</f>
        <v>-</v>
      </c>
      <c r="O60" s="296"/>
      <c r="P60" s="296"/>
      <c r="Q60" s="296"/>
      <c r="R60" s="296"/>
      <c r="X60" s="311"/>
      <c r="Y60" s="300"/>
      <c r="AA60" s="300"/>
    </row>
    <row r="61" spans="1:27" ht="15" thickBot="1">
      <c r="A61" s="392"/>
      <c r="B61" s="175"/>
      <c r="C61" s="474" t="str">
        <f>IF(ISBLANK(B61)," ",VLOOKUP(B61,Produits!$B$3:$C$102,2,))</f>
        <v xml:space="preserve"> </v>
      </c>
      <c r="D61" s="406"/>
      <c r="E61" s="409"/>
      <c r="F61" s="254" t="str">
        <f t="shared" si="2"/>
        <v xml:space="preserve"> </v>
      </c>
      <c r="G61" s="355"/>
      <c r="H61" s="353" t="s">
        <v>455</v>
      </c>
      <c r="I61" s="348" t="str">
        <f t="shared" si="0"/>
        <v/>
      </c>
      <c r="J61" s="522" t="str">
        <f>IF(ISBLANK(B61)," ",VLOOKUP(B61,Produits!B44:G143,3,))</f>
        <v xml:space="preserve"> </v>
      </c>
      <c r="K61" s="423"/>
      <c r="L61" s="427"/>
      <c r="M61" s="349" t="str">
        <f>IFERROR(VLOOKUP(L61,Carton!$B$5:$J$61,7,),"-")</f>
        <v>-</v>
      </c>
      <c r="N61" s="350" t="str">
        <f>IFERROR(VLOOKUP(L61,Carton!$B$5:$J$61,9,),"-")</f>
        <v>-</v>
      </c>
      <c r="O61" s="296"/>
      <c r="P61" s="296"/>
      <c r="Q61" s="296"/>
      <c r="R61" s="296"/>
      <c r="X61" s="311"/>
      <c r="Y61" s="300"/>
      <c r="AA61" s="300"/>
    </row>
    <row r="62" spans="1:27" ht="15" thickBot="1">
      <c r="A62" s="392"/>
      <c r="B62" s="175"/>
      <c r="C62" s="474" t="str">
        <f>IF(ISBLANK(B62)," ",VLOOKUP(B62,Produits!$B$3:$C$102,2,))</f>
        <v xml:space="preserve"> </v>
      </c>
      <c r="D62" s="410"/>
      <c r="E62" s="409"/>
      <c r="F62" s="254" t="str">
        <f t="shared" si="2"/>
        <v xml:space="preserve"> </v>
      </c>
      <c r="G62" s="355"/>
      <c r="H62" s="353" t="s">
        <v>456</v>
      </c>
      <c r="I62" s="348" t="str">
        <f t="shared" si="0"/>
        <v/>
      </c>
      <c r="J62" s="522" t="str">
        <f>IF(ISBLANK(B62)," ",VLOOKUP(B62,Produits!B45:G144,3,))</f>
        <v xml:space="preserve"> </v>
      </c>
      <c r="K62" s="423"/>
      <c r="L62" s="427"/>
      <c r="M62" s="349" t="str">
        <f>IFERROR(VLOOKUP(L62,Carton!$B$5:$J$61,7,),"-")</f>
        <v>-</v>
      </c>
      <c r="N62" s="350" t="str">
        <f>IFERROR(VLOOKUP(L62,Carton!$B$5:$J$61,9,),"-")</f>
        <v>-</v>
      </c>
      <c r="O62" s="296"/>
      <c r="P62" s="296"/>
      <c r="Q62" s="296"/>
      <c r="R62" s="296"/>
      <c r="X62" s="311"/>
      <c r="Y62" s="300"/>
      <c r="AA62" s="300"/>
    </row>
    <row r="63" spans="1:27" ht="15" thickBot="1">
      <c r="A63" s="392"/>
      <c r="B63" s="175"/>
      <c r="C63" s="474" t="str">
        <f>IF(ISBLANK(B63)," ",VLOOKUP(B63,Produits!$B$3:$C$102,2,))</f>
        <v xml:space="preserve"> </v>
      </c>
      <c r="D63" s="413"/>
      <c r="E63" s="409"/>
      <c r="F63" s="254" t="str">
        <f t="shared" si="2"/>
        <v xml:space="preserve"> </v>
      </c>
      <c r="G63" s="355"/>
      <c r="H63" s="353" t="s">
        <v>457</v>
      </c>
      <c r="I63" s="348" t="str">
        <f t="shared" si="0"/>
        <v/>
      </c>
      <c r="J63" s="522" t="str">
        <f>IF(ISBLANK(B63)," ",VLOOKUP(B63,Produits!B46:G145,3,))</f>
        <v xml:space="preserve"> </v>
      </c>
      <c r="K63" s="423"/>
      <c r="L63" s="427"/>
      <c r="M63" s="349" t="str">
        <f>IFERROR(VLOOKUP(L63,Carton!$B$5:$J$61,7,),"-")</f>
        <v>-</v>
      </c>
      <c r="N63" s="350" t="str">
        <f>IFERROR(VLOOKUP(L63,Carton!$B$5:$J$61,9,),"-")</f>
        <v>-</v>
      </c>
      <c r="O63" s="296"/>
      <c r="P63" s="296"/>
      <c r="Q63" s="296"/>
      <c r="R63" s="296"/>
      <c r="X63" s="311"/>
      <c r="Y63" s="300"/>
      <c r="AA63" s="300"/>
    </row>
    <row r="64" spans="1:27" ht="15" thickBot="1">
      <c r="A64" s="392"/>
      <c r="B64" s="175"/>
      <c r="C64" s="474" t="str">
        <f>IF(ISBLANK(B64)," ",VLOOKUP(B64,Produits!$B$3:$C$102,2,))</f>
        <v xml:space="preserve"> </v>
      </c>
      <c r="D64" s="413"/>
      <c r="E64" s="409"/>
      <c r="F64" s="254" t="str">
        <f t="shared" si="2"/>
        <v xml:space="preserve"> </v>
      </c>
      <c r="G64" s="355"/>
      <c r="H64" s="353" t="s">
        <v>458</v>
      </c>
      <c r="I64" s="348" t="str">
        <f t="shared" si="0"/>
        <v/>
      </c>
      <c r="J64" s="522" t="str">
        <f>IF(ISBLANK(B64)," ",VLOOKUP(B64,Produits!B47:G146,3,))</f>
        <v xml:space="preserve"> </v>
      </c>
      <c r="K64" s="423"/>
      <c r="L64" s="427"/>
      <c r="M64" s="349" t="str">
        <f>IFERROR(VLOOKUP(L64,Carton!$B$5:$J$61,7,),"-")</f>
        <v>-</v>
      </c>
      <c r="N64" s="350" t="str">
        <f>IFERROR(VLOOKUP(L64,Carton!$B$5:$J$61,9,),"-")</f>
        <v>-</v>
      </c>
      <c r="O64" s="296"/>
      <c r="P64" s="296"/>
      <c r="Q64" s="296"/>
      <c r="R64" s="296"/>
      <c r="X64" s="311"/>
      <c r="Y64" s="300"/>
      <c r="AA64" s="300"/>
    </row>
    <row r="65" spans="1:27" ht="15" thickBot="1">
      <c r="A65" s="392"/>
      <c r="B65" s="175"/>
      <c r="C65" s="474" t="str">
        <f>IF(ISBLANK(B65)," ",VLOOKUP(B65,Produits!$B$3:$C$102,2,))</f>
        <v xml:space="preserve"> </v>
      </c>
      <c r="D65" s="414"/>
      <c r="E65" s="409"/>
      <c r="F65" s="363" t="str">
        <f t="shared" si="2"/>
        <v xml:space="preserve"> </v>
      </c>
      <c r="G65" s="364"/>
      <c r="H65" s="353" t="s">
        <v>459</v>
      </c>
      <c r="I65" s="348" t="str">
        <f t="shared" si="0"/>
        <v/>
      </c>
      <c r="J65" s="522" t="str">
        <f>IF(ISBLANK(B65)," ",VLOOKUP(B65,Produits!B48:G147,3,))</f>
        <v xml:space="preserve"> </v>
      </c>
      <c r="K65" s="423"/>
      <c r="L65" s="427"/>
      <c r="M65" s="349" t="str">
        <f>IFERROR(VLOOKUP(L65,Carton!$B$5:$J$61,7,),"-")</f>
        <v>-</v>
      </c>
      <c r="N65" s="350" t="str">
        <f>IFERROR(VLOOKUP(L65,Carton!$B$5:$J$61,9,),"-")</f>
        <v>-</v>
      </c>
      <c r="O65" s="296"/>
      <c r="P65" s="296"/>
      <c r="Q65" s="296"/>
      <c r="R65" s="296"/>
      <c r="X65" s="311"/>
      <c r="Y65" s="300"/>
      <c r="AA65" s="300"/>
    </row>
    <row r="66" spans="1:27" ht="15" thickBot="1">
      <c r="A66" s="396"/>
      <c r="B66" s="397"/>
      <c r="C66" s="474" t="str">
        <f>IF(ISBLANK(B66)," ",VLOOKUP(B66,Produits!$B$3:$C$102,2,))</f>
        <v xml:space="preserve"> </v>
      </c>
      <c r="D66" s="415"/>
      <c r="E66" s="416"/>
      <c r="F66" s="363" t="str">
        <f t="shared" si="2"/>
        <v xml:space="preserve"> </v>
      </c>
      <c r="G66" s="365"/>
      <c r="H66" s="353" t="s">
        <v>460</v>
      </c>
      <c r="I66" s="348" t="str">
        <f t="shared" si="0"/>
        <v/>
      </c>
      <c r="J66" s="522" t="str">
        <f>IF(ISBLANK(B66)," ",VLOOKUP(B66,Produits!B49:G148,3,))</f>
        <v xml:space="preserve"> </v>
      </c>
      <c r="K66" s="423"/>
      <c r="L66" s="427"/>
      <c r="M66" s="349" t="str">
        <f>IFERROR(VLOOKUP(L66,Carton!$B$5:$J$61,7,),"-")</f>
        <v>-</v>
      </c>
      <c r="N66" s="350" t="str">
        <f>IFERROR(VLOOKUP(L66,Carton!$B$5:$J$61,9,),"-")</f>
        <v>-</v>
      </c>
      <c r="O66" s="296"/>
      <c r="P66" s="296"/>
      <c r="Q66" s="296"/>
      <c r="R66" s="296"/>
      <c r="X66" s="311"/>
      <c r="Y66" s="300"/>
      <c r="AA66" s="300"/>
    </row>
    <row r="67" spans="1:27" ht="15" thickBot="1">
      <c r="A67" s="396"/>
      <c r="B67" s="398"/>
      <c r="C67" s="474" t="str">
        <f>IF(ISBLANK(B67)," ",VLOOKUP(B67,Produits!$B$3:$C$102,2,))</f>
        <v xml:space="preserve"> </v>
      </c>
      <c r="D67" s="417"/>
      <c r="E67" s="416"/>
      <c r="F67" s="363" t="str">
        <f t="shared" si="2"/>
        <v xml:space="preserve"> </v>
      </c>
      <c r="G67" s="300"/>
      <c r="H67" s="353" t="s">
        <v>461</v>
      </c>
      <c r="I67" s="348" t="str">
        <f t="shared" si="0"/>
        <v/>
      </c>
      <c r="J67" s="522" t="str">
        <f>IF(ISBLANK(B67)," ",VLOOKUP(B67,Produits!B50:G149,3,))</f>
        <v xml:space="preserve"> </v>
      </c>
      <c r="K67" s="423"/>
      <c r="L67" s="427"/>
      <c r="M67" s="349" t="str">
        <f>IFERROR(VLOOKUP(L67,Carton!$B$5:$J$61,7,),"-")</f>
        <v>-</v>
      </c>
      <c r="N67" s="350" t="str">
        <f>IFERROR(VLOOKUP(L67,Carton!$B$5:$J$61,9,),"-")</f>
        <v>-</v>
      </c>
      <c r="O67" s="296"/>
      <c r="P67" s="296"/>
      <c r="Q67" s="296"/>
      <c r="R67" s="296"/>
      <c r="X67" s="311"/>
      <c r="Y67" s="300"/>
      <c r="AA67" s="300"/>
    </row>
    <row r="68" spans="1:27" ht="15" thickBot="1">
      <c r="A68" s="396"/>
      <c r="B68" s="398"/>
      <c r="C68" s="474" t="str">
        <f>IF(ISBLANK(B68)," ",VLOOKUP(B68,Produits!$B$3:$C$102,2,))</f>
        <v xml:space="preserve"> </v>
      </c>
      <c r="D68" s="417"/>
      <c r="E68" s="416"/>
      <c r="F68" s="363" t="str">
        <f t="shared" si="2"/>
        <v xml:space="preserve"> </v>
      </c>
      <c r="G68" s="300"/>
      <c r="H68" s="345" t="s">
        <v>462</v>
      </c>
      <c r="I68" s="348" t="str">
        <f t="shared" si="0"/>
        <v/>
      </c>
      <c r="J68" s="522" t="str">
        <f>IF(ISBLANK(B68)," ",VLOOKUP(B68,Produits!B51:G150,3,))</f>
        <v xml:space="preserve"> </v>
      </c>
      <c r="K68" s="424"/>
      <c r="L68" s="427"/>
      <c r="M68" s="349" t="str">
        <f>IFERROR(VLOOKUP(L68,Carton!$B$5:$J$61,7,),"-")</f>
        <v>-</v>
      </c>
      <c r="N68" s="350" t="str">
        <f>IFERROR(VLOOKUP(L68,Carton!$B$5:$J$61,9,),"-")</f>
        <v>-</v>
      </c>
      <c r="O68" s="296"/>
      <c r="P68" s="296"/>
      <c r="Q68" s="296"/>
      <c r="R68" s="296"/>
      <c r="X68" s="311"/>
      <c r="Y68" s="300"/>
      <c r="AA68" s="300"/>
    </row>
    <row r="69" spans="1:27" ht="15" thickBot="1">
      <c r="A69" s="396"/>
      <c r="B69" s="399"/>
      <c r="C69" s="474" t="str">
        <f>IF(ISBLANK(B69)," ",VLOOKUP(B69,Produits!$B$3:$C$102,2,))</f>
        <v xml:space="preserve"> </v>
      </c>
      <c r="D69" s="417"/>
      <c r="E69" s="416"/>
      <c r="F69" s="366" t="str">
        <f t="shared" si="2"/>
        <v xml:space="preserve"> </v>
      </c>
      <c r="G69" s="300"/>
      <c r="H69" s="345" t="s">
        <v>579</v>
      </c>
      <c r="I69" s="348" t="str">
        <f t="shared" si="0"/>
        <v/>
      </c>
      <c r="J69" s="522" t="str">
        <f>IF(ISBLANK(B69)," ",VLOOKUP(B69,Produits!B52:G151,3,))</f>
        <v xml:space="preserve"> </v>
      </c>
      <c r="K69" s="424"/>
      <c r="L69" s="427"/>
      <c r="M69" s="349" t="str">
        <f>IFERROR(VLOOKUP(L69,Carton!$B$5:$J$61,7,),"-")</f>
        <v>-</v>
      </c>
      <c r="N69" s="350" t="str">
        <f>IFERROR(VLOOKUP(L69,Carton!$B$5:$J$61,9,),"-")</f>
        <v>-</v>
      </c>
      <c r="O69" s="296"/>
      <c r="P69" s="296"/>
      <c r="Q69" s="296"/>
      <c r="R69" s="296"/>
      <c r="X69" s="311"/>
      <c r="Y69" s="300"/>
      <c r="AA69" s="300"/>
    </row>
    <row r="70" spans="1:27" ht="15" thickBot="1">
      <c r="A70" s="396"/>
      <c r="B70" s="399"/>
      <c r="C70" s="474" t="str">
        <f>IF(ISBLANK(B70)," ",VLOOKUP(B70,Produits!$B$3:$C$102,2,))</f>
        <v xml:space="preserve"> </v>
      </c>
      <c r="D70" s="417"/>
      <c r="E70" s="416"/>
      <c r="F70" s="366" t="str">
        <f t="shared" si="2"/>
        <v xml:space="preserve"> </v>
      </c>
      <c r="G70" s="300"/>
      <c r="H70" s="345" t="s">
        <v>580</v>
      </c>
      <c r="I70" s="348" t="str">
        <f t="shared" si="0"/>
        <v/>
      </c>
      <c r="J70" s="522" t="str">
        <f>IF(ISBLANK(B70)," ",VLOOKUP(B70,Produits!B53:G152,3,))</f>
        <v xml:space="preserve"> </v>
      </c>
      <c r="K70" s="424"/>
      <c r="L70" s="427"/>
      <c r="M70" s="349" t="str">
        <f>IFERROR(VLOOKUP(L70,Carton!$B$5:$J$61,7,),"-")</f>
        <v>-</v>
      </c>
      <c r="N70" s="350" t="str">
        <f>IFERROR(VLOOKUP(L70,Carton!$B$5:$J$61,9,),"-")</f>
        <v>-</v>
      </c>
      <c r="O70" s="296"/>
      <c r="P70" s="296"/>
      <c r="Q70" s="296"/>
      <c r="R70" s="296"/>
      <c r="X70" s="311"/>
      <c r="Y70" s="300"/>
      <c r="AA70" s="300"/>
    </row>
    <row r="71" spans="1:27" ht="15" thickBot="1">
      <c r="A71" s="396"/>
      <c r="B71" s="399"/>
      <c r="C71" s="474" t="str">
        <f>IF(ISBLANK(B71)," ",VLOOKUP(B71,Produits!$B$3:$C$102,2,))</f>
        <v xml:space="preserve"> </v>
      </c>
      <c r="D71" s="417"/>
      <c r="E71" s="416"/>
      <c r="F71" s="366" t="str">
        <f t="shared" si="2"/>
        <v xml:space="preserve"> </v>
      </c>
      <c r="G71" s="300"/>
      <c r="H71" s="345" t="s">
        <v>581</v>
      </c>
      <c r="I71" s="348" t="str">
        <f t="shared" si="0"/>
        <v/>
      </c>
      <c r="J71" s="522" t="str">
        <f>IF(ISBLANK(B71)," ",VLOOKUP(B71,Produits!B54:G153,3,))</f>
        <v xml:space="preserve"> </v>
      </c>
      <c r="K71" s="424"/>
      <c r="L71" s="427"/>
      <c r="M71" s="349" t="str">
        <f>IFERROR(VLOOKUP(L71,Carton!$B$5:$J$61,7,),"-")</f>
        <v>-</v>
      </c>
      <c r="N71" s="350" t="str">
        <f>IFERROR(VLOOKUP(L71,Carton!$B$5:$J$61,9,),"-")</f>
        <v>-</v>
      </c>
      <c r="O71" s="296"/>
      <c r="P71" s="296"/>
      <c r="Q71" s="296"/>
      <c r="R71" s="296"/>
      <c r="X71" s="311"/>
      <c r="Y71" s="300"/>
      <c r="AA71" s="300"/>
    </row>
    <row r="72" spans="1:27" ht="15" thickBot="1">
      <c r="A72" s="400"/>
      <c r="B72" s="399"/>
      <c r="C72" s="474" t="str">
        <f>IF(ISBLANK(B72)," ",VLOOKUP(B72,Produits!$B$3:$C$102,2,))</f>
        <v xml:space="preserve"> </v>
      </c>
      <c r="D72" s="417"/>
      <c r="E72" s="416"/>
      <c r="F72" s="366" t="str">
        <f t="shared" si="2"/>
        <v xml:space="preserve"> </v>
      </c>
      <c r="G72" s="300"/>
      <c r="H72" s="345" t="s">
        <v>582</v>
      </c>
      <c r="I72" s="348" t="str">
        <f t="shared" si="0"/>
        <v/>
      </c>
      <c r="J72" s="522" t="str">
        <f>IF(ISBLANK(B72)," ",VLOOKUP(B72,Produits!B55:G154,3,))</f>
        <v xml:space="preserve"> </v>
      </c>
      <c r="K72" s="424"/>
      <c r="L72" s="427"/>
      <c r="M72" s="349" t="str">
        <f>IFERROR(VLOOKUP(L72,Carton!$B$5:$J$61,7,),"-")</f>
        <v>-</v>
      </c>
      <c r="N72" s="350" t="str">
        <f>IFERROR(VLOOKUP(L72,Carton!$B$5:$J$61,9,),"-")</f>
        <v>-</v>
      </c>
      <c r="O72" s="296"/>
      <c r="P72" s="296"/>
      <c r="Q72" s="296"/>
      <c r="R72" s="296"/>
      <c r="X72" s="311"/>
      <c r="Y72" s="300"/>
      <c r="AA72" s="300"/>
    </row>
    <row r="73" spans="1:27" ht="15" thickBot="1">
      <c r="A73" s="400"/>
      <c r="B73" s="399"/>
      <c r="C73" s="474" t="str">
        <f>IF(ISBLANK(B73)," ",VLOOKUP(B73,Produits!$B$3:$C$102,2,))</f>
        <v xml:space="preserve"> </v>
      </c>
      <c r="D73" s="417"/>
      <c r="E73" s="416"/>
      <c r="F73" s="367" t="str">
        <f t="shared" si="2"/>
        <v xml:space="preserve"> </v>
      </c>
      <c r="G73" s="368"/>
      <c r="H73" s="345" t="s">
        <v>583</v>
      </c>
      <c r="I73" s="348" t="str">
        <f t="shared" si="0"/>
        <v/>
      </c>
      <c r="J73" s="522" t="str">
        <f>IF(ISBLANK(B73)," ",VLOOKUP(B73,Produits!B56:G155,3,))</f>
        <v xml:space="preserve"> </v>
      </c>
      <c r="K73" s="424"/>
      <c r="L73" s="427"/>
      <c r="M73" s="349" t="str">
        <f>IFERROR(VLOOKUP(L73,Carton!$B$5:$J$61,7,),"-")</f>
        <v>-</v>
      </c>
      <c r="N73" s="350" t="str">
        <f>IFERROR(VLOOKUP(L73,Carton!$B$5:$J$61,9,),"-")</f>
        <v>-</v>
      </c>
      <c r="O73" s="296"/>
      <c r="P73" s="296"/>
      <c r="Q73" s="296"/>
      <c r="R73" s="296"/>
      <c r="X73" s="311"/>
      <c r="Y73" s="300"/>
      <c r="AA73" s="300"/>
    </row>
    <row r="74" spans="1:27" ht="13.15" customHeight="1" thickBot="1">
      <c r="A74" s="400"/>
      <c r="B74" s="401"/>
      <c r="C74" s="474" t="str">
        <f>IF(ISBLANK(B74)," ",VLOOKUP(B74,Produits!$B$3:$C$102,2,))</f>
        <v xml:space="preserve"> </v>
      </c>
      <c r="D74" s="418"/>
      <c r="E74" s="416"/>
      <c r="F74" s="367" t="str">
        <f t="shared" si="2"/>
        <v xml:space="preserve"> </v>
      </c>
      <c r="G74" s="368"/>
      <c r="H74" s="345" t="s">
        <v>584</v>
      </c>
      <c r="I74" s="348" t="str">
        <f t="shared" si="0"/>
        <v/>
      </c>
      <c r="J74" s="522" t="str">
        <f>IF(ISBLANK(B74)," ",VLOOKUP(B74,Produits!B57:G156,3,))</f>
        <v xml:space="preserve"> </v>
      </c>
      <c r="K74" s="424"/>
      <c r="L74" s="427"/>
      <c r="M74" s="349" t="str">
        <f>IFERROR(VLOOKUP(L74,Carton!$B$5:$J$61,7,),"-")</f>
        <v>-</v>
      </c>
      <c r="N74" s="350" t="str">
        <f>IFERROR(VLOOKUP(L74,Carton!$B$5:$J$61,9,),"-")</f>
        <v>-</v>
      </c>
      <c r="O74" s="296"/>
      <c r="P74" s="296"/>
      <c r="Q74" s="296"/>
      <c r="R74" s="296"/>
      <c r="X74" s="311"/>
      <c r="Y74" s="300"/>
      <c r="AA74" s="300"/>
    </row>
    <row r="75" spans="1:27" ht="15" thickBot="1">
      <c r="A75" s="400"/>
      <c r="B75" s="399"/>
      <c r="C75" s="474" t="str">
        <f>IF(ISBLANK(B75)," ",VLOOKUP(B75,Produits!$B$3:$C$102,2,))</f>
        <v xml:space="preserve"> </v>
      </c>
      <c r="D75" s="417"/>
      <c r="E75" s="416"/>
      <c r="F75" s="366" t="str">
        <f t="shared" si="2"/>
        <v xml:space="preserve"> </v>
      </c>
      <c r="G75" s="300"/>
      <c r="H75" s="345" t="s">
        <v>585</v>
      </c>
      <c r="I75" s="348" t="str">
        <f t="shared" si="0"/>
        <v/>
      </c>
      <c r="J75" s="522" t="str">
        <f>IF(ISBLANK(B75)," ",VLOOKUP(B75,Produits!B58:G157,3,))</f>
        <v xml:space="preserve"> </v>
      </c>
      <c r="K75" s="424"/>
      <c r="L75" s="427"/>
      <c r="M75" s="349" t="str">
        <f>IFERROR(VLOOKUP(L75,Carton!$B$5:$J$61,7,),"-")</f>
        <v>-</v>
      </c>
      <c r="N75" s="350" t="str">
        <f>IFERROR(VLOOKUP(L75,Carton!$B$5:$J$61,9,),"-")</f>
        <v>-</v>
      </c>
      <c r="O75" s="296"/>
      <c r="P75" s="296"/>
      <c r="Q75" s="296"/>
      <c r="R75" s="296"/>
      <c r="X75" s="311"/>
      <c r="Y75" s="300"/>
      <c r="AA75" s="300"/>
    </row>
    <row r="76" spans="1:27" ht="15" thickBot="1">
      <c r="A76" s="400"/>
      <c r="B76" s="399"/>
      <c r="C76" s="474" t="str">
        <f>IF(ISBLANK(B76)," ",VLOOKUP(B76,Produits!$B$3:$C$102,2,))</f>
        <v xml:space="preserve"> </v>
      </c>
      <c r="D76" s="417"/>
      <c r="E76" s="416"/>
      <c r="F76" s="366" t="str">
        <f t="shared" si="2"/>
        <v xml:space="preserve"> </v>
      </c>
      <c r="G76" s="300"/>
      <c r="H76" s="345" t="s">
        <v>586</v>
      </c>
      <c r="I76" s="348" t="str">
        <f t="shared" si="0"/>
        <v/>
      </c>
      <c r="J76" s="522" t="str">
        <f>IF(ISBLANK(B76)," ",VLOOKUP(B76,Produits!B59:G158,3,))</f>
        <v xml:space="preserve"> </v>
      </c>
      <c r="K76" s="424"/>
      <c r="L76" s="427"/>
      <c r="M76" s="349" t="str">
        <f>IFERROR(VLOOKUP(L76,Carton!$B$5:$J$61,7,),"-")</f>
        <v>-</v>
      </c>
      <c r="N76" s="350" t="str">
        <f>IFERROR(VLOOKUP(L76,Carton!$B$5:$J$61,9,),"-")</f>
        <v>-</v>
      </c>
      <c r="O76" s="296"/>
      <c r="P76" s="296"/>
      <c r="Q76" s="296"/>
      <c r="R76" s="296"/>
      <c r="X76" s="311"/>
      <c r="Y76" s="300"/>
      <c r="AA76" s="300"/>
    </row>
    <row r="77" spans="1:27" ht="15" thickBot="1">
      <c r="A77" s="400"/>
      <c r="B77" s="399"/>
      <c r="C77" s="474" t="str">
        <f>IF(ISBLANK(B77)," ",VLOOKUP(B77,Produits!$B$3:$C$102,2,))</f>
        <v xml:space="preserve"> </v>
      </c>
      <c r="D77" s="417"/>
      <c r="E77" s="416"/>
      <c r="F77" s="366" t="str">
        <f t="shared" si="2"/>
        <v xml:space="preserve"> </v>
      </c>
      <c r="G77" s="300"/>
      <c r="H77" s="345" t="s">
        <v>587</v>
      </c>
      <c r="I77" s="348" t="str">
        <f t="shared" si="0"/>
        <v/>
      </c>
      <c r="J77" s="522" t="str">
        <f>IF(ISBLANK(B77)," ",VLOOKUP(B77,Produits!B60:G159,3,))</f>
        <v xml:space="preserve"> </v>
      </c>
      <c r="K77" s="424"/>
      <c r="L77" s="427"/>
      <c r="M77" s="349" t="str">
        <f>IFERROR(VLOOKUP(L77,Carton!$B$5:$J$61,7,),"-")</f>
        <v>-</v>
      </c>
      <c r="N77" s="350" t="str">
        <f>IFERROR(VLOOKUP(L77,Carton!$B$5:$J$61,9,),"-")</f>
        <v>-</v>
      </c>
      <c r="O77" s="296"/>
      <c r="P77" s="296"/>
      <c r="Q77" s="296"/>
      <c r="R77" s="296"/>
      <c r="X77" s="311"/>
      <c r="Y77" s="300"/>
      <c r="AA77" s="300"/>
    </row>
    <row r="78" spans="1:27" ht="15" thickBot="1">
      <c r="A78" s="400"/>
      <c r="B78" s="399"/>
      <c r="C78" s="474" t="str">
        <f>IF(ISBLANK(B78)," ",VLOOKUP(B78,Produits!$B$3:$C$102,2,))</f>
        <v xml:space="preserve"> </v>
      </c>
      <c r="D78" s="417"/>
      <c r="E78" s="416"/>
      <c r="F78" s="366" t="str">
        <f t="shared" si="2"/>
        <v xml:space="preserve"> </v>
      </c>
      <c r="G78" s="300"/>
      <c r="H78" s="345" t="s">
        <v>588</v>
      </c>
      <c r="I78" s="348" t="str">
        <f t="shared" si="0"/>
        <v/>
      </c>
      <c r="J78" s="522" t="str">
        <f>IF(ISBLANK(B78)," ",VLOOKUP(B78,Produits!B61:G160,3,))</f>
        <v xml:space="preserve"> </v>
      </c>
      <c r="K78" s="424"/>
      <c r="L78" s="427"/>
      <c r="M78" s="349" t="str">
        <f>IFERROR(VLOOKUP(L78,Carton!$B$5:$J$61,7,),"-")</f>
        <v>-</v>
      </c>
      <c r="N78" s="350" t="str">
        <f>IFERROR(VLOOKUP(L78,Carton!$B$5:$J$61,9,),"-")</f>
        <v>-</v>
      </c>
      <c r="O78" s="296"/>
      <c r="P78" s="296"/>
      <c r="Q78" s="296"/>
      <c r="R78" s="296"/>
      <c r="X78" s="311"/>
      <c r="Y78" s="300"/>
      <c r="AA78" s="300"/>
    </row>
    <row r="79" spans="1:27" ht="15" thickBot="1">
      <c r="A79" s="402"/>
      <c r="B79" s="403"/>
      <c r="C79" s="519" t="str">
        <f>IF(ISBLANK(B79)," ",VLOOKUP(B79,Produits!$B$3:$C$102,2,))</f>
        <v xml:space="preserve"> </v>
      </c>
      <c r="D79" s="419"/>
      <c r="E79" s="420"/>
      <c r="F79" s="369" t="str">
        <f t="shared" si="2"/>
        <v xml:space="preserve"> </v>
      </c>
      <c r="G79" s="370"/>
      <c r="H79" s="371" t="s">
        <v>589</v>
      </c>
      <c r="I79" s="348" t="str">
        <f t="shared" si="0"/>
        <v/>
      </c>
      <c r="J79" s="522" t="str">
        <f>IF(ISBLANK(B79)," ",VLOOKUP(B79,Produits!B62:G161,3,))</f>
        <v xml:space="preserve"> </v>
      </c>
      <c r="K79" s="425"/>
      <c r="L79" s="427"/>
      <c r="M79" s="349" t="str">
        <f>IFERROR(VLOOKUP(L79,Carton!$B$5:$J$61,7,),"-")</f>
        <v>-</v>
      </c>
      <c r="N79" s="350" t="str">
        <f>IFERROR(VLOOKUP(L79,Carton!$B$5:$J$61,9,),"-")</f>
        <v>-</v>
      </c>
      <c r="O79" s="296"/>
      <c r="P79" s="296"/>
      <c r="Q79" s="296"/>
      <c r="R79" s="296"/>
      <c r="X79" s="311"/>
      <c r="Y79" s="300"/>
      <c r="AA79" s="300"/>
    </row>
    <row r="80" spans="1:27" ht="6" customHeight="1">
      <c r="A80" s="372"/>
      <c r="C80" s="373"/>
      <c r="D80" s="372"/>
      <c r="E80" s="374"/>
      <c r="F80" s="372"/>
      <c r="G80" s="372"/>
      <c r="H80" s="372"/>
      <c r="I80" s="375"/>
      <c r="J80" s="523"/>
      <c r="K80" s="376"/>
      <c r="L80" s="372"/>
      <c r="M80" s="297"/>
      <c r="N80" s="299"/>
      <c r="O80" s="299"/>
      <c r="Q80" s="296"/>
      <c r="R80" s="296"/>
      <c r="Z80" s="311"/>
      <c r="AA80" s="300"/>
    </row>
    <row r="81" spans="1:27" ht="14.45" customHeight="1">
      <c r="A81" s="598" t="s">
        <v>608</v>
      </c>
      <c r="B81" s="599"/>
      <c r="C81" s="377">
        <f>+SUM(F19:F79)</f>
        <v>3.5679999999999996</v>
      </c>
      <c r="D81" s="372"/>
      <c r="E81" s="374"/>
      <c r="F81" s="372"/>
      <c r="G81" s="372"/>
      <c r="H81" s="372"/>
      <c r="I81" s="372"/>
      <c r="J81" s="524"/>
      <c r="K81" s="299">
        <f>COUNTA(K19:K79)</f>
        <v>1</v>
      </c>
      <c r="M81" s="378">
        <f>+SUM(M19:M79)</f>
        <v>1.4999999999999999E-2</v>
      </c>
      <c r="N81" s="378">
        <f>+SUM(N19:N79)</f>
        <v>0.40300000000000002</v>
      </c>
      <c r="R81" s="296"/>
      <c r="Z81" s="311"/>
      <c r="AA81" s="300"/>
    </row>
    <row r="82" spans="1:27" ht="14.45" customHeight="1">
      <c r="A82" s="598" t="s">
        <v>609</v>
      </c>
      <c r="B82" s="599"/>
      <c r="C82" s="377">
        <f>C81+N81</f>
        <v>3.9709999999999996</v>
      </c>
      <c r="D82" s="372"/>
      <c r="E82" s="374"/>
      <c r="F82" s="372"/>
      <c r="G82" s="372"/>
      <c r="H82" s="372"/>
      <c r="I82" s="372"/>
      <c r="J82" s="524"/>
      <c r="K82" s="376"/>
      <c r="L82" s="372"/>
      <c r="M82" s="297"/>
      <c r="N82" s="299"/>
      <c r="O82" s="299"/>
      <c r="Q82" s="296"/>
      <c r="R82" s="296"/>
      <c r="Z82" s="311"/>
      <c r="AA82" s="300"/>
    </row>
    <row r="83" spans="1:27" ht="14.45" customHeight="1">
      <c r="A83" s="600" t="s">
        <v>610</v>
      </c>
      <c r="B83" s="601"/>
      <c r="C83" s="379">
        <f t="array" ref="C83">SUMPRODUCT(IF(A19:A79&lt;&gt;"",1/COUNTIF(A19:A79,A19:A79)))</f>
        <v>1</v>
      </c>
      <c r="D83" s="372"/>
      <c r="E83" s="374"/>
      <c r="F83" s="372"/>
      <c r="G83" s="372"/>
      <c r="H83" s="372"/>
      <c r="I83" s="372"/>
      <c r="J83" s="524"/>
      <c r="K83" s="376"/>
      <c r="L83" s="372"/>
      <c r="M83" s="297"/>
      <c r="N83" s="299"/>
      <c r="O83" s="299"/>
      <c r="Q83" s="296"/>
      <c r="R83" s="296"/>
      <c r="Z83" s="311"/>
      <c r="AA83" s="300"/>
    </row>
    <row r="84" spans="1:27" ht="15">
      <c r="A84" s="602" t="s">
        <v>611</v>
      </c>
      <c r="B84" s="603"/>
      <c r="C84" s="380">
        <f>SUM(M19:M79)</f>
        <v>1.4999999999999999E-2</v>
      </c>
      <c r="D84" s="372"/>
      <c r="E84" s="374"/>
      <c r="F84" s="372"/>
      <c r="G84" s="372"/>
      <c r="H84" s="372"/>
      <c r="I84" s="372"/>
      <c r="J84" s="524"/>
      <c r="K84" s="376"/>
      <c r="L84" s="381"/>
      <c r="M84" s="297"/>
      <c r="N84" s="299"/>
      <c r="O84" s="299"/>
      <c r="Q84" s="296"/>
      <c r="R84" s="296"/>
      <c r="Z84" s="311"/>
      <c r="AA84" s="300"/>
    </row>
    <row r="85" spans="1:27" ht="14.45" customHeight="1">
      <c r="A85" s="593" t="s">
        <v>612</v>
      </c>
      <c r="B85" s="594"/>
      <c r="C85" s="382">
        <f>+SUM(D19:D79)</f>
        <v>9</v>
      </c>
      <c r="D85" s="372"/>
      <c r="E85" s="374"/>
      <c r="F85" s="372"/>
      <c r="G85" s="372"/>
      <c r="H85" s="383"/>
      <c r="I85" s="372"/>
      <c r="J85" s="524"/>
      <c r="K85" s="376"/>
      <c r="L85" s="372"/>
      <c r="M85" s="297"/>
      <c r="N85" s="299"/>
      <c r="O85" s="299"/>
      <c r="Q85" s="296"/>
      <c r="R85" s="296"/>
      <c r="Z85" s="311"/>
      <c r="AA85" s="300"/>
    </row>
    <row r="86" spans="1:27" ht="6" customHeight="1">
      <c r="A86" s="372"/>
      <c r="B86" s="372"/>
      <c r="C86" s="384"/>
      <c r="D86" s="372"/>
      <c r="E86" s="374"/>
      <c r="F86" s="372"/>
      <c r="G86" s="372"/>
      <c r="H86" s="372"/>
      <c r="I86" s="372"/>
      <c r="J86" s="524"/>
      <c r="K86" s="376"/>
      <c r="L86" s="372"/>
      <c r="M86" s="297"/>
      <c r="N86" s="299"/>
      <c r="O86" s="299"/>
      <c r="Q86" s="296"/>
      <c r="R86" s="296"/>
      <c r="Z86" s="311"/>
      <c r="AA86" s="300"/>
    </row>
    <row r="87" spans="1:27" ht="14.45" customHeight="1">
      <c r="A87" s="604" t="s">
        <v>568</v>
      </c>
      <c r="B87" s="604"/>
      <c r="C87" s="385"/>
      <c r="D87" s="385"/>
      <c r="E87" s="385"/>
      <c r="F87" s="385"/>
      <c r="G87" s="385"/>
      <c r="H87" s="385"/>
      <c r="I87" s="385"/>
      <c r="J87" s="524"/>
      <c r="K87" s="376"/>
      <c r="L87" s="372"/>
      <c r="M87" s="386"/>
      <c r="N87" s="299"/>
      <c r="O87" s="299"/>
      <c r="Q87" s="296"/>
      <c r="R87" s="296"/>
      <c r="Z87" s="311"/>
      <c r="AA87" s="300"/>
    </row>
    <row r="88" spans="1:27" ht="13.9" customHeight="1">
      <c r="A88" s="584" t="s">
        <v>689</v>
      </c>
      <c r="B88" s="585"/>
      <c r="C88" s="585"/>
      <c r="D88" s="585"/>
      <c r="E88" s="585"/>
      <c r="F88" s="585"/>
      <c r="G88" s="585"/>
      <c r="H88" s="585"/>
      <c r="I88" s="586"/>
      <c r="J88" s="524"/>
      <c r="K88" s="376"/>
      <c r="L88" s="372"/>
      <c r="M88" s="386"/>
      <c r="N88" s="299"/>
      <c r="O88" s="299"/>
      <c r="Q88" s="296"/>
      <c r="R88" s="296"/>
      <c r="Z88" s="311"/>
      <c r="AA88" s="300"/>
    </row>
    <row r="89" spans="1:27" ht="13.9" customHeight="1">
      <c r="A89" s="587"/>
      <c r="B89" s="588"/>
      <c r="C89" s="588"/>
      <c r="D89" s="588"/>
      <c r="E89" s="588"/>
      <c r="F89" s="588"/>
      <c r="G89" s="588"/>
      <c r="H89" s="588"/>
      <c r="I89" s="589"/>
      <c r="J89" s="524"/>
      <c r="K89" s="376"/>
      <c r="L89" s="372"/>
      <c r="M89" s="386"/>
      <c r="N89" s="299"/>
      <c r="O89" s="299"/>
      <c r="Q89" s="296"/>
      <c r="R89" s="296"/>
      <c r="Z89" s="311"/>
      <c r="AA89" s="300"/>
    </row>
    <row r="90" spans="1:27" ht="14.45" customHeight="1">
      <c r="A90" s="587"/>
      <c r="B90" s="588"/>
      <c r="C90" s="588"/>
      <c r="D90" s="588"/>
      <c r="E90" s="588"/>
      <c r="F90" s="588"/>
      <c r="G90" s="588"/>
      <c r="H90" s="588"/>
      <c r="I90" s="589"/>
      <c r="J90" s="524"/>
      <c r="K90" s="376"/>
      <c r="L90" s="372"/>
      <c r="M90" s="386"/>
      <c r="N90" s="299"/>
      <c r="O90" s="299"/>
      <c r="Q90" s="296"/>
      <c r="R90" s="296"/>
      <c r="Z90" s="311"/>
      <c r="AA90" s="300"/>
    </row>
    <row r="91" spans="1:27">
      <c r="A91" s="590"/>
      <c r="B91" s="591"/>
      <c r="C91" s="591"/>
      <c r="D91" s="591"/>
      <c r="E91" s="591"/>
      <c r="F91" s="591"/>
      <c r="G91" s="591"/>
      <c r="H91" s="591"/>
      <c r="I91" s="592"/>
      <c r="J91" s="524"/>
      <c r="K91" s="376"/>
      <c r="L91" s="372"/>
      <c r="M91" s="386"/>
      <c r="N91" s="299"/>
      <c r="O91" s="299"/>
      <c r="Q91" s="296"/>
      <c r="R91" s="296"/>
      <c r="Z91" s="311"/>
      <c r="AA91" s="300"/>
    </row>
    <row r="92" spans="1:27">
      <c r="A92" s="300"/>
      <c r="B92" s="387"/>
      <c r="C92" s="373"/>
      <c r="D92" s="387"/>
      <c r="E92" s="374"/>
      <c r="F92" s="372"/>
      <c r="G92" s="372"/>
      <c r="H92" s="372"/>
      <c r="I92" s="372"/>
      <c r="J92" s="524"/>
      <c r="K92" s="376"/>
      <c r="L92" s="372"/>
      <c r="M92" s="386"/>
      <c r="N92" s="299"/>
      <c r="O92" s="299"/>
      <c r="Q92" s="296"/>
      <c r="R92" s="296"/>
      <c r="Z92" s="311"/>
      <c r="AA92" s="300"/>
    </row>
    <row r="93" spans="1:27">
      <c r="A93" s="300"/>
      <c r="B93" s="387"/>
      <c r="C93" s="373"/>
      <c r="D93" s="387"/>
      <c r="E93" s="374"/>
      <c r="F93" s="388"/>
      <c r="G93" s="387"/>
      <c r="H93" s="387"/>
      <c r="I93" s="387"/>
      <c r="J93" s="524"/>
      <c r="K93" s="376"/>
      <c r="L93" s="387"/>
      <c r="M93" s="387"/>
      <c r="N93" s="297"/>
      <c r="O93" s="299"/>
      <c r="R93" s="296"/>
      <c r="Z93" s="296"/>
      <c r="AA93" s="300"/>
    </row>
    <row r="94" spans="1:27">
      <c r="A94" s="300"/>
      <c r="B94" s="389" t="s">
        <v>570</v>
      </c>
      <c r="C94" s="301"/>
      <c r="D94" s="390"/>
      <c r="E94" s="374"/>
      <c r="F94" s="388"/>
      <c r="G94" s="387"/>
      <c r="H94" s="387"/>
      <c r="I94" s="387"/>
      <c r="J94" s="524"/>
      <c r="K94" s="376"/>
      <c r="L94" s="387"/>
      <c r="M94" s="387"/>
      <c r="N94" s="297"/>
      <c r="O94" s="299"/>
      <c r="R94" s="296"/>
      <c r="Z94" s="296"/>
      <c r="AA94" s="300"/>
    </row>
    <row r="95" spans="1:27">
      <c r="A95" s="300"/>
      <c r="B95" s="323" t="s">
        <v>571</v>
      </c>
      <c r="C95" s="301"/>
      <c r="D95" s="390"/>
      <c r="E95" s="374"/>
      <c r="F95" s="388"/>
      <c r="G95" s="387"/>
      <c r="H95" s="387"/>
      <c r="I95" s="387"/>
      <c r="J95" s="524"/>
      <c r="K95" s="376"/>
      <c r="L95" s="387"/>
      <c r="M95" s="387"/>
      <c r="N95" s="297"/>
      <c r="O95" s="299"/>
      <c r="R95" s="296"/>
      <c r="Z95" s="296"/>
      <c r="AA95" s="300"/>
    </row>
    <row r="96" spans="1:27">
      <c r="A96" s="300"/>
      <c r="B96" s="323" t="s">
        <v>572</v>
      </c>
      <c r="C96" s="301"/>
      <c r="D96" s="390"/>
      <c r="E96" s="374"/>
      <c r="F96" s="388"/>
      <c r="G96" s="390"/>
      <c r="H96" s="390"/>
      <c r="I96" s="388"/>
      <c r="J96" s="521"/>
      <c r="K96" s="391"/>
      <c r="L96" s="388"/>
      <c r="M96" s="388"/>
      <c r="N96" s="297"/>
      <c r="O96" s="299"/>
      <c r="R96" s="296"/>
      <c r="Z96" s="296"/>
      <c r="AA96" s="300"/>
    </row>
    <row r="97" spans="1:27">
      <c r="A97" s="300"/>
      <c r="B97" s="323"/>
      <c r="C97" s="301"/>
      <c r="D97" s="390"/>
      <c r="E97" s="374"/>
      <c r="F97" s="388"/>
      <c r="G97" s="390"/>
      <c r="H97" s="390"/>
      <c r="I97" s="388"/>
      <c r="J97" s="521"/>
      <c r="K97" s="391"/>
      <c r="L97" s="388"/>
      <c r="M97" s="388"/>
      <c r="N97" s="297"/>
      <c r="O97" s="299"/>
      <c r="R97" s="296"/>
      <c r="Z97" s="296"/>
      <c r="AA97" s="300"/>
    </row>
    <row r="98" spans="1:27">
      <c r="A98" s="300"/>
      <c r="B98" s="323" t="s">
        <v>573</v>
      </c>
      <c r="C98" s="301"/>
      <c r="D98" s="390"/>
      <c r="E98" s="374"/>
      <c r="F98" s="388"/>
      <c r="G98" s="390"/>
      <c r="H98" s="390"/>
      <c r="I98" s="388"/>
      <c r="J98" s="521"/>
      <c r="K98" s="391"/>
      <c r="L98" s="388"/>
      <c r="M98" s="388"/>
      <c r="N98" s="297"/>
      <c r="O98" s="299"/>
      <c r="R98" s="296"/>
      <c r="Z98" s="296"/>
      <c r="AA98" s="300"/>
    </row>
    <row r="99" spans="1:27">
      <c r="A99" s="300"/>
      <c r="B99" s="323" t="s">
        <v>574</v>
      </c>
      <c r="C99" s="301"/>
      <c r="D99" s="390"/>
      <c r="E99" s="374"/>
      <c r="F99" s="388"/>
      <c r="G99" s="390"/>
      <c r="H99" s="390"/>
      <c r="I99" s="388"/>
      <c r="J99" s="521"/>
      <c r="K99" s="391"/>
      <c r="L99" s="388"/>
      <c r="M99" s="388"/>
      <c r="N99" s="297"/>
      <c r="O99" s="299"/>
      <c r="R99" s="296"/>
      <c r="Z99" s="296"/>
      <c r="AA99" s="300"/>
    </row>
    <row r="100" spans="1:27">
      <c r="A100" s="300"/>
      <c r="B100" s="296" t="s">
        <v>575</v>
      </c>
      <c r="C100" s="301"/>
      <c r="D100" s="300"/>
      <c r="E100" s="302"/>
      <c r="G100" s="300"/>
      <c r="I100" s="296"/>
      <c r="J100" s="521"/>
      <c r="K100" s="391"/>
      <c r="L100" s="388"/>
      <c r="M100" s="388"/>
      <c r="N100" s="297"/>
      <c r="O100" s="299"/>
      <c r="R100" s="296"/>
      <c r="Z100" s="296"/>
      <c r="AA100" s="300"/>
    </row>
    <row r="101" spans="1:27">
      <c r="A101" s="300"/>
      <c r="C101" s="301"/>
      <c r="D101" s="300"/>
      <c r="E101" s="302"/>
      <c r="G101" s="300"/>
      <c r="I101" s="296"/>
      <c r="J101" s="521"/>
      <c r="K101" s="391"/>
      <c r="L101" s="388"/>
      <c r="M101" s="388"/>
      <c r="N101" s="297"/>
      <c r="O101" s="299"/>
      <c r="R101" s="296"/>
      <c r="Z101" s="296"/>
      <c r="AA101" s="300"/>
    </row>
    <row r="102" spans="1:27">
      <c r="A102" s="300"/>
      <c r="C102" s="301"/>
      <c r="D102" s="300"/>
      <c r="E102" s="302"/>
      <c r="G102" s="300"/>
      <c r="I102" s="296"/>
      <c r="K102" s="303"/>
      <c r="L102" s="296"/>
      <c r="N102" s="297"/>
      <c r="O102" s="299"/>
      <c r="R102" s="296"/>
      <c r="Z102" s="296"/>
      <c r="AA102" s="300"/>
    </row>
    <row r="103" spans="1:27">
      <c r="A103" s="300"/>
      <c r="C103" s="301"/>
      <c r="D103" s="300"/>
      <c r="E103" s="302"/>
      <c r="G103" s="300"/>
      <c r="I103" s="296"/>
      <c r="K103" s="303"/>
      <c r="L103" s="296"/>
      <c r="N103" s="297"/>
      <c r="O103" s="299"/>
      <c r="R103" s="296"/>
      <c r="Z103" s="296"/>
      <c r="AA103" s="300"/>
    </row>
    <row r="104" spans="1:27">
      <c r="A104" s="300"/>
      <c r="C104" s="301"/>
      <c r="D104" s="300"/>
      <c r="E104" s="302"/>
      <c r="G104" s="300"/>
      <c r="I104" s="296"/>
      <c r="K104" s="303"/>
      <c r="L104" s="296"/>
      <c r="N104" s="297"/>
      <c r="O104" s="299"/>
      <c r="R104" s="296"/>
      <c r="Z104" s="296"/>
      <c r="AA104" s="300"/>
    </row>
    <row r="105" spans="1:27">
      <c r="A105" s="300"/>
      <c r="C105" s="301"/>
      <c r="D105" s="300"/>
      <c r="E105" s="302"/>
      <c r="G105" s="300"/>
      <c r="I105" s="296"/>
      <c r="K105" s="303"/>
      <c r="L105" s="296"/>
      <c r="N105" s="297"/>
      <c r="O105" s="299"/>
      <c r="R105" s="296"/>
      <c r="Z105" s="296"/>
      <c r="AA105" s="300"/>
    </row>
    <row r="106" spans="1:27">
      <c r="A106" s="300"/>
      <c r="C106" s="301"/>
      <c r="D106" s="300"/>
      <c r="E106" s="302"/>
      <c r="G106" s="300"/>
      <c r="I106" s="296"/>
      <c r="K106" s="303"/>
      <c r="L106" s="296"/>
      <c r="N106" s="297"/>
      <c r="O106" s="299"/>
      <c r="R106" s="296"/>
      <c r="Z106" s="296"/>
      <c r="AA106" s="300"/>
    </row>
    <row r="107" spans="1:27">
      <c r="A107" s="300"/>
      <c r="C107" s="301"/>
      <c r="D107" s="300"/>
      <c r="E107" s="302"/>
      <c r="G107" s="300"/>
      <c r="I107" s="296"/>
      <c r="K107" s="303"/>
      <c r="L107" s="296"/>
      <c r="N107" s="297"/>
      <c r="O107" s="299"/>
      <c r="R107" s="296"/>
      <c r="Z107" s="296"/>
      <c r="AA107" s="300"/>
    </row>
    <row r="108" spans="1:27">
      <c r="A108" s="300"/>
      <c r="C108" s="301"/>
      <c r="D108" s="300"/>
      <c r="E108" s="302"/>
      <c r="G108" s="300"/>
      <c r="I108" s="296"/>
      <c r="K108" s="303"/>
      <c r="L108" s="296"/>
      <c r="N108" s="297"/>
      <c r="O108" s="299"/>
      <c r="R108" s="296"/>
      <c r="Z108" s="296"/>
      <c r="AA108" s="300"/>
    </row>
    <row r="109" spans="1:27">
      <c r="A109" s="300"/>
      <c r="C109" s="301"/>
      <c r="D109" s="300"/>
      <c r="E109" s="302"/>
      <c r="G109" s="300"/>
      <c r="I109" s="296"/>
      <c r="K109" s="303"/>
      <c r="L109" s="296"/>
      <c r="N109" s="297"/>
      <c r="O109" s="299"/>
      <c r="R109" s="296"/>
      <c r="Z109" s="296"/>
      <c r="AA109" s="300"/>
    </row>
    <row r="110" spans="1:27">
      <c r="A110" s="300"/>
      <c r="C110" s="301"/>
      <c r="D110" s="300"/>
      <c r="E110" s="302"/>
      <c r="G110" s="300"/>
      <c r="I110" s="296"/>
      <c r="K110" s="303"/>
      <c r="L110" s="296"/>
      <c r="N110" s="297"/>
      <c r="O110" s="299"/>
      <c r="R110" s="296"/>
      <c r="Z110" s="296"/>
      <c r="AA110" s="300"/>
    </row>
    <row r="111" spans="1:27">
      <c r="A111" s="300"/>
      <c r="C111" s="301"/>
      <c r="D111" s="300"/>
      <c r="E111" s="302"/>
      <c r="G111" s="300"/>
      <c r="I111" s="296"/>
      <c r="K111" s="303"/>
      <c r="L111" s="296"/>
      <c r="N111" s="297"/>
      <c r="O111" s="299"/>
      <c r="R111" s="296"/>
      <c r="Z111" s="296"/>
      <c r="AA111" s="300"/>
    </row>
    <row r="112" spans="1:27">
      <c r="A112" s="300"/>
      <c r="C112" s="301"/>
      <c r="D112" s="300"/>
      <c r="E112" s="302"/>
      <c r="G112" s="300"/>
      <c r="I112" s="296"/>
      <c r="K112" s="303"/>
      <c r="L112" s="296"/>
      <c r="N112" s="297"/>
      <c r="O112" s="299"/>
      <c r="R112" s="296"/>
      <c r="Z112" s="296"/>
      <c r="AA112" s="300"/>
    </row>
    <row r="113" spans="1:27">
      <c r="A113" s="300"/>
      <c r="C113" s="301"/>
      <c r="D113" s="300"/>
      <c r="E113" s="302"/>
      <c r="G113" s="300"/>
      <c r="I113" s="296"/>
      <c r="K113" s="303"/>
      <c r="L113" s="296"/>
      <c r="N113" s="297"/>
      <c r="O113" s="299"/>
      <c r="R113" s="296"/>
      <c r="Z113" s="296"/>
      <c r="AA113" s="300"/>
    </row>
    <row r="114" spans="1:27">
      <c r="A114" s="300"/>
      <c r="C114" s="301"/>
      <c r="D114" s="300"/>
      <c r="E114" s="302"/>
      <c r="G114" s="300"/>
      <c r="I114" s="296"/>
      <c r="K114" s="303"/>
      <c r="L114" s="296"/>
      <c r="N114" s="297"/>
      <c r="O114" s="299"/>
      <c r="R114" s="296"/>
      <c r="Z114" s="296"/>
      <c r="AA114" s="300"/>
    </row>
    <row r="115" spans="1:27">
      <c r="A115" s="300"/>
      <c r="C115" s="301"/>
      <c r="D115" s="300"/>
      <c r="E115" s="302"/>
      <c r="G115" s="300"/>
      <c r="I115" s="296"/>
      <c r="K115" s="303"/>
      <c r="L115" s="296"/>
      <c r="N115" s="297"/>
      <c r="O115" s="299"/>
      <c r="R115" s="296"/>
      <c r="Z115" s="296"/>
      <c r="AA115" s="300"/>
    </row>
    <row r="116" spans="1:27">
      <c r="A116" s="300"/>
      <c r="C116" s="301"/>
      <c r="D116" s="300"/>
      <c r="E116" s="302"/>
      <c r="G116" s="300"/>
      <c r="I116" s="296"/>
      <c r="K116" s="303"/>
      <c r="L116" s="296"/>
      <c r="N116" s="297"/>
      <c r="O116" s="299"/>
      <c r="R116" s="296"/>
      <c r="Z116" s="296"/>
      <c r="AA116" s="300"/>
    </row>
    <row r="117" spans="1:27">
      <c r="A117" s="300"/>
      <c r="C117" s="301"/>
      <c r="D117" s="300"/>
      <c r="E117" s="302"/>
      <c r="G117" s="300"/>
      <c r="I117" s="296"/>
      <c r="K117" s="303"/>
      <c r="L117" s="296"/>
      <c r="N117" s="297"/>
      <c r="O117" s="299"/>
      <c r="R117" s="296"/>
      <c r="Z117" s="296"/>
      <c r="AA117" s="300"/>
    </row>
    <row r="118" spans="1:27">
      <c r="A118" s="300"/>
      <c r="C118" s="301"/>
      <c r="D118" s="300"/>
      <c r="E118" s="302"/>
      <c r="G118" s="300"/>
      <c r="I118" s="296"/>
      <c r="K118" s="303"/>
      <c r="L118" s="296"/>
      <c r="N118" s="297"/>
      <c r="O118" s="299"/>
      <c r="R118" s="296"/>
      <c r="Z118" s="296"/>
      <c r="AA118" s="300"/>
    </row>
    <row r="119" spans="1:27">
      <c r="A119" s="300"/>
      <c r="C119" s="301"/>
      <c r="D119" s="300"/>
      <c r="E119" s="302"/>
      <c r="G119" s="300"/>
      <c r="I119" s="296"/>
      <c r="K119" s="303"/>
      <c r="L119" s="296"/>
      <c r="N119" s="297"/>
      <c r="O119" s="299"/>
      <c r="R119" s="296"/>
      <c r="Z119" s="296"/>
      <c r="AA119" s="300"/>
    </row>
    <row r="120" spans="1:27">
      <c r="A120" s="300"/>
      <c r="C120" s="301"/>
      <c r="D120" s="300"/>
      <c r="E120" s="302"/>
      <c r="G120" s="300"/>
      <c r="I120" s="296"/>
      <c r="K120" s="303"/>
      <c r="L120" s="296"/>
      <c r="N120" s="297"/>
      <c r="O120" s="299"/>
      <c r="R120" s="296"/>
      <c r="Z120" s="296"/>
      <c r="AA120" s="300"/>
    </row>
    <row r="121" spans="1:27">
      <c r="A121" s="300"/>
      <c r="C121" s="301"/>
      <c r="D121" s="300"/>
      <c r="E121" s="302"/>
      <c r="G121" s="300"/>
      <c r="I121" s="296"/>
      <c r="K121" s="303"/>
      <c r="L121" s="296"/>
      <c r="N121" s="297"/>
      <c r="O121" s="299"/>
      <c r="R121" s="296"/>
      <c r="Z121" s="296"/>
      <c r="AA121" s="300"/>
    </row>
    <row r="122" spans="1:27">
      <c r="A122" s="300"/>
      <c r="C122" s="301"/>
      <c r="D122" s="300"/>
      <c r="E122" s="302"/>
      <c r="G122" s="300"/>
      <c r="I122" s="296"/>
      <c r="K122" s="303"/>
      <c r="L122" s="296"/>
      <c r="N122" s="297"/>
      <c r="O122" s="299"/>
      <c r="R122" s="296"/>
      <c r="Z122" s="296"/>
      <c r="AA122" s="300"/>
    </row>
    <row r="123" spans="1:27">
      <c r="A123" s="300"/>
      <c r="C123" s="301"/>
      <c r="D123" s="300"/>
      <c r="E123" s="302"/>
      <c r="G123" s="300"/>
      <c r="I123" s="296"/>
      <c r="K123" s="303"/>
      <c r="L123" s="296"/>
      <c r="N123" s="297"/>
      <c r="O123" s="299"/>
      <c r="R123" s="296"/>
      <c r="Z123" s="296"/>
      <c r="AA123" s="300"/>
    </row>
    <row r="124" spans="1:27">
      <c r="A124" s="300"/>
      <c r="C124" s="301"/>
      <c r="D124" s="300"/>
      <c r="E124" s="302"/>
      <c r="G124" s="300"/>
      <c r="I124" s="296"/>
      <c r="K124" s="303"/>
      <c r="L124" s="296"/>
      <c r="N124" s="297"/>
      <c r="O124" s="299"/>
      <c r="R124" s="296"/>
      <c r="Z124" s="296"/>
      <c r="AA124" s="300"/>
    </row>
    <row r="125" spans="1:27">
      <c r="A125" s="300"/>
      <c r="C125" s="301"/>
      <c r="D125" s="300"/>
      <c r="E125" s="302"/>
      <c r="G125" s="300"/>
      <c r="I125" s="296"/>
      <c r="K125" s="303"/>
      <c r="L125" s="296"/>
      <c r="N125" s="297"/>
      <c r="O125" s="299"/>
      <c r="R125" s="296"/>
      <c r="Z125" s="296"/>
      <c r="AA125" s="300"/>
    </row>
    <row r="126" spans="1:27">
      <c r="A126" s="300"/>
      <c r="C126" s="301"/>
      <c r="D126" s="300"/>
      <c r="E126" s="302"/>
      <c r="G126" s="300"/>
      <c r="I126" s="296"/>
      <c r="K126" s="303"/>
      <c r="L126" s="296"/>
      <c r="N126" s="297"/>
      <c r="O126" s="299"/>
      <c r="R126" s="296"/>
      <c r="Z126" s="296"/>
      <c r="AA126" s="300"/>
    </row>
    <row r="127" spans="1:27">
      <c r="A127" s="300"/>
      <c r="C127" s="301"/>
      <c r="D127" s="300"/>
      <c r="E127" s="302"/>
      <c r="G127" s="300"/>
      <c r="I127" s="296"/>
      <c r="K127" s="303"/>
      <c r="L127" s="296"/>
      <c r="N127" s="297"/>
      <c r="O127" s="299"/>
      <c r="R127" s="296"/>
      <c r="Z127" s="296"/>
      <c r="AA127" s="300"/>
    </row>
    <row r="128" spans="1:27">
      <c r="A128" s="300"/>
      <c r="C128" s="301"/>
      <c r="D128" s="300"/>
      <c r="E128" s="302"/>
      <c r="G128" s="300"/>
      <c r="I128" s="296"/>
      <c r="K128" s="303"/>
      <c r="L128" s="296"/>
      <c r="N128" s="297"/>
      <c r="O128" s="299"/>
      <c r="R128" s="296"/>
      <c r="Z128" s="296"/>
      <c r="AA128" s="300"/>
    </row>
    <row r="129" spans="1:27">
      <c r="A129" s="300"/>
      <c r="C129" s="301"/>
      <c r="D129" s="300"/>
      <c r="E129" s="302"/>
      <c r="G129" s="300"/>
      <c r="I129" s="296"/>
      <c r="K129" s="303"/>
      <c r="L129" s="296"/>
      <c r="N129" s="297"/>
      <c r="O129" s="299"/>
      <c r="R129" s="296"/>
      <c r="Z129" s="296"/>
      <c r="AA129" s="300"/>
    </row>
    <row r="130" spans="1:27">
      <c r="A130" s="300"/>
      <c r="C130" s="301"/>
      <c r="D130" s="300"/>
      <c r="E130" s="302"/>
      <c r="G130" s="300"/>
      <c r="I130" s="296"/>
      <c r="K130" s="303"/>
      <c r="L130" s="296"/>
      <c r="N130" s="297"/>
      <c r="O130" s="299"/>
      <c r="R130" s="296"/>
      <c r="Z130" s="296"/>
      <c r="AA130" s="300"/>
    </row>
    <row r="131" spans="1:27">
      <c r="A131" s="300"/>
      <c r="C131" s="301"/>
      <c r="D131" s="300"/>
      <c r="E131" s="302"/>
      <c r="G131" s="300"/>
      <c r="I131" s="296"/>
      <c r="K131" s="303"/>
      <c r="L131" s="296"/>
      <c r="N131" s="297"/>
      <c r="O131" s="299"/>
      <c r="R131" s="296"/>
      <c r="Z131" s="296"/>
      <c r="AA131" s="300"/>
    </row>
    <row r="132" spans="1:27">
      <c r="A132" s="300"/>
      <c r="C132" s="301"/>
      <c r="D132" s="300"/>
      <c r="E132" s="302"/>
      <c r="G132" s="300"/>
      <c r="I132" s="296"/>
      <c r="K132" s="303"/>
      <c r="L132" s="296"/>
      <c r="N132" s="297"/>
      <c r="O132" s="299"/>
      <c r="R132" s="296"/>
      <c r="Z132" s="296"/>
      <c r="AA132" s="300"/>
    </row>
    <row r="133" spans="1:27">
      <c r="A133" s="300"/>
      <c r="C133" s="301"/>
      <c r="D133" s="300"/>
      <c r="E133" s="302"/>
      <c r="G133" s="300"/>
      <c r="I133" s="296"/>
      <c r="K133" s="303"/>
      <c r="L133" s="296"/>
      <c r="N133" s="297"/>
      <c r="O133" s="299"/>
      <c r="R133" s="296"/>
      <c r="Z133" s="296"/>
      <c r="AA133" s="300"/>
    </row>
    <row r="134" spans="1:27">
      <c r="A134" s="300"/>
      <c r="C134" s="301"/>
      <c r="D134" s="300"/>
      <c r="E134" s="302"/>
      <c r="G134" s="300"/>
      <c r="I134" s="296"/>
      <c r="K134" s="303"/>
      <c r="L134" s="296"/>
      <c r="N134" s="297"/>
      <c r="O134" s="299"/>
      <c r="R134" s="296"/>
      <c r="Z134" s="296"/>
      <c r="AA134" s="300"/>
    </row>
    <row r="135" spans="1:27">
      <c r="A135" s="300"/>
      <c r="C135" s="301"/>
      <c r="D135" s="300"/>
      <c r="E135" s="302"/>
      <c r="G135" s="300"/>
      <c r="I135" s="296"/>
      <c r="K135" s="303"/>
      <c r="L135" s="296"/>
      <c r="N135" s="297"/>
      <c r="O135" s="299"/>
      <c r="R135" s="296"/>
      <c r="Z135" s="296"/>
      <c r="AA135" s="300"/>
    </row>
    <row r="136" spans="1:27">
      <c r="A136" s="300"/>
      <c r="C136" s="301"/>
      <c r="D136" s="300"/>
      <c r="E136" s="302"/>
      <c r="G136" s="300"/>
      <c r="I136" s="296"/>
      <c r="K136" s="303"/>
      <c r="L136" s="296"/>
      <c r="N136" s="297"/>
      <c r="O136" s="299"/>
      <c r="R136" s="296"/>
      <c r="Z136" s="296"/>
      <c r="AA136" s="300"/>
    </row>
    <row r="137" spans="1:27">
      <c r="A137" s="300"/>
      <c r="C137" s="301"/>
      <c r="D137" s="300"/>
      <c r="E137" s="302"/>
      <c r="G137" s="300"/>
      <c r="I137" s="296"/>
      <c r="K137" s="303"/>
      <c r="L137" s="296"/>
      <c r="N137" s="297"/>
      <c r="O137" s="299"/>
      <c r="R137" s="296"/>
      <c r="Z137" s="296"/>
      <c r="AA137" s="300"/>
    </row>
    <row r="138" spans="1:27">
      <c r="A138" s="300"/>
      <c r="C138" s="301"/>
      <c r="D138" s="300"/>
      <c r="E138" s="302"/>
      <c r="G138" s="300"/>
      <c r="I138" s="296"/>
      <c r="K138" s="303"/>
      <c r="L138" s="296"/>
      <c r="N138" s="297"/>
      <c r="O138" s="299"/>
      <c r="R138" s="296"/>
      <c r="Z138" s="296"/>
      <c r="AA138" s="300"/>
    </row>
    <row r="139" spans="1:27">
      <c r="A139" s="300"/>
      <c r="C139" s="301"/>
      <c r="D139" s="300"/>
      <c r="E139" s="302"/>
      <c r="G139" s="300"/>
      <c r="I139" s="296"/>
      <c r="K139" s="303"/>
      <c r="L139" s="296"/>
      <c r="N139" s="297"/>
      <c r="O139" s="299"/>
      <c r="R139" s="296"/>
      <c r="Z139" s="296"/>
      <c r="AA139" s="300"/>
    </row>
    <row r="140" spans="1:27">
      <c r="A140" s="300"/>
      <c r="C140" s="301"/>
      <c r="D140" s="300"/>
      <c r="E140" s="302"/>
      <c r="G140" s="300"/>
      <c r="I140" s="296"/>
      <c r="K140" s="303"/>
      <c r="L140" s="296"/>
      <c r="N140" s="297"/>
      <c r="O140" s="299"/>
      <c r="R140" s="296"/>
      <c r="Z140" s="296"/>
      <c r="AA140" s="300"/>
    </row>
    <row r="141" spans="1:27">
      <c r="A141" s="300"/>
      <c r="C141" s="301"/>
      <c r="D141" s="300"/>
      <c r="E141" s="302"/>
      <c r="G141" s="300"/>
      <c r="I141" s="296"/>
      <c r="K141" s="303"/>
      <c r="L141" s="296"/>
      <c r="N141" s="297"/>
      <c r="O141" s="299"/>
      <c r="R141" s="296"/>
      <c r="Z141" s="296"/>
      <c r="AA141" s="300"/>
    </row>
    <row r="142" spans="1:27">
      <c r="A142" s="300"/>
      <c r="C142" s="301"/>
      <c r="D142" s="300"/>
      <c r="E142" s="302"/>
      <c r="G142" s="300"/>
      <c r="I142" s="296"/>
      <c r="K142" s="303"/>
      <c r="L142" s="296"/>
      <c r="N142" s="297"/>
      <c r="O142" s="299"/>
      <c r="R142" s="296"/>
      <c r="Z142" s="296"/>
      <c r="AA142" s="300"/>
    </row>
    <row r="143" spans="1:27">
      <c r="A143" s="300"/>
      <c r="C143" s="301"/>
      <c r="D143" s="300"/>
      <c r="E143" s="302"/>
      <c r="G143" s="300"/>
      <c r="I143" s="296"/>
      <c r="K143" s="303"/>
      <c r="L143" s="296"/>
      <c r="N143" s="297"/>
      <c r="O143" s="299"/>
      <c r="R143" s="296"/>
      <c r="Z143" s="296"/>
      <c r="AA143" s="300"/>
    </row>
    <row r="144" spans="1:27">
      <c r="A144" s="300"/>
      <c r="C144" s="301"/>
      <c r="D144" s="300"/>
      <c r="E144" s="302"/>
      <c r="G144" s="300"/>
      <c r="I144" s="296"/>
      <c r="K144" s="303"/>
      <c r="L144" s="296"/>
      <c r="N144" s="297"/>
      <c r="O144" s="299"/>
      <c r="R144" s="296"/>
      <c r="Z144" s="296"/>
      <c r="AA144" s="300"/>
    </row>
    <row r="145" spans="1:27">
      <c r="A145" s="300"/>
      <c r="C145" s="301"/>
      <c r="D145" s="300"/>
      <c r="E145" s="302"/>
      <c r="G145" s="300"/>
      <c r="I145" s="296"/>
      <c r="K145" s="303"/>
      <c r="L145" s="296"/>
      <c r="N145" s="297"/>
      <c r="O145" s="299"/>
      <c r="R145" s="296"/>
      <c r="Z145" s="296"/>
      <c r="AA145" s="300"/>
    </row>
    <row r="146" spans="1:27">
      <c r="A146" s="300"/>
      <c r="C146" s="301"/>
      <c r="D146" s="300"/>
      <c r="E146" s="302"/>
      <c r="G146" s="300"/>
      <c r="I146" s="296"/>
      <c r="K146" s="303"/>
      <c r="L146" s="296"/>
      <c r="N146" s="297"/>
      <c r="O146" s="299"/>
      <c r="R146" s="296"/>
      <c r="Z146" s="296"/>
      <c r="AA146" s="300"/>
    </row>
    <row r="147" spans="1:27">
      <c r="A147" s="300"/>
      <c r="C147" s="301"/>
      <c r="D147" s="300"/>
      <c r="E147" s="302"/>
      <c r="G147" s="300"/>
      <c r="I147" s="296"/>
      <c r="K147" s="303"/>
      <c r="L147" s="296"/>
      <c r="N147" s="297"/>
      <c r="O147" s="299"/>
      <c r="R147" s="296"/>
      <c r="Z147" s="296"/>
      <c r="AA147" s="300"/>
    </row>
    <row r="148" spans="1:27">
      <c r="A148" s="300"/>
      <c r="C148" s="301"/>
      <c r="D148" s="300"/>
      <c r="E148" s="302"/>
      <c r="G148" s="300"/>
      <c r="I148" s="296"/>
      <c r="K148" s="303"/>
      <c r="L148" s="296"/>
      <c r="N148" s="297"/>
      <c r="O148" s="299"/>
      <c r="R148" s="296"/>
      <c r="Z148" s="296"/>
      <c r="AA148" s="300"/>
    </row>
    <row r="149" spans="1:27">
      <c r="A149" s="300"/>
      <c r="C149" s="301"/>
      <c r="D149" s="300"/>
      <c r="E149" s="302"/>
      <c r="G149" s="300"/>
      <c r="I149" s="296"/>
      <c r="K149" s="303"/>
      <c r="L149" s="296"/>
      <c r="N149" s="297"/>
      <c r="O149" s="299"/>
      <c r="R149" s="296"/>
      <c r="Z149" s="296"/>
      <c r="AA149" s="300"/>
    </row>
    <row r="150" spans="1:27">
      <c r="A150" s="300"/>
      <c r="C150" s="301"/>
      <c r="D150" s="300"/>
      <c r="E150" s="302"/>
      <c r="G150" s="300"/>
      <c r="I150" s="296"/>
      <c r="K150" s="303"/>
      <c r="L150" s="296"/>
      <c r="N150" s="297"/>
      <c r="O150" s="299"/>
      <c r="R150" s="296"/>
      <c r="Z150" s="296"/>
      <c r="AA150" s="300"/>
    </row>
    <row r="151" spans="1:27">
      <c r="A151" s="300"/>
      <c r="C151" s="301"/>
      <c r="D151" s="300"/>
      <c r="E151" s="302"/>
      <c r="G151" s="300"/>
      <c r="I151" s="296"/>
      <c r="K151" s="303"/>
      <c r="L151" s="296"/>
      <c r="N151" s="297"/>
      <c r="O151" s="299"/>
      <c r="R151" s="296"/>
      <c r="Z151" s="296"/>
      <c r="AA151" s="300"/>
    </row>
    <row r="152" spans="1:27">
      <c r="A152" s="300"/>
      <c r="C152" s="301"/>
      <c r="D152" s="300"/>
      <c r="E152" s="302"/>
      <c r="G152" s="300"/>
      <c r="I152" s="296"/>
      <c r="K152" s="303"/>
      <c r="L152" s="296"/>
      <c r="N152" s="297"/>
      <c r="O152" s="299"/>
      <c r="R152" s="296"/>
      <c r="Z152" s="296"/>
      <c r="AA152" s="300"/>
    </row>
    <row r="153" spans="1:27">
      <c r="A153" s="300"/>
      <c r="C153" s="301"/>
      <c r="D153" s="300"/>
      <c r="E153" s="302"/>
      <c r="G153" s="300"/>
      <c r="I153" s="296"/>
      <c r="K153" s="303"/>
      <c r="L153" s="296"/>
      <c r="N153" s="297"/>
      <c r="O153" s="299"/>
      <c r="R153" s="296"/>
      <c r="Z153" s="296"/>
      <c r="AA153" s="300"/>
    </row>
    <row r="154" spans="1:27">
      <c r="A154" s="300"/>
      <c r="C154" s="301"/>
      <c r="D154" s="300"/>
      <c r="E154" s="302"/>
      <c r="G154" s="300"/>
      <c r="I154" s="296"/>
      <c r="K154" s="303"/>
      <c r="L154" s="296"/>
      <c r="N154" s="297"/>
      <c r="O154" s="299"/>
      <c r="R154" s="296"/>
      <c r="Z154" s="296"/>
      <c r="AA154" s="300"/>
    </row>
    <row r="155" spans="1:27">
      <c r="A155" s="300"/>
      <c r="C155" s="301"/>
      <c r="D155" s="300"/>
      <c r="E155" s="302"/>
      <c r="G155" s="300"/>
      <c r="I155" s="296"/>
      <c r="K155" s="303"/>
      <c r="L155" s="296"/>
      <c r="N155" s="297"/>
      <c r="O155" s="299"/>
      <c r="R155" s="296"/>
      <c r="Z155" s="296"/>
      <c r="AA155" s="300"/>
    </row>
    <row r="156" spans="1:27">
      <c r="A156" s="300"/>
      <c r="C156" s="301"/>
      <c r="D156" s="300"/>
      <c r="E156" s="302"/>
      <c r="G156" s="300"/>
      <c r="I156" s="296"/>
      <c r="K156" s="303"/>
      <c r="L156" s="296"/>
      <c r="N156" s="297"/>
      <c r="O156" s="299"/>
      <c r="R156" s="296"/>
      <c r="Z156" s="296"/>
      <c r="AA156" s="300"/>
    </row>
    <row r="157" spans="1:27">
      <c r="A157" s="300"/>
      <c r="C157" s="301"/>
      <c r="D157" s="300"/>
      <c r="E157" s="302"/>
      <c r="G157" s="300"/>
      <c r="I157" s="296"/>
      <c r="K157" s="303"/>
      <c r="L157" s="296"/>
      <c r="N157" s="297"/>
      <c r="O157" s="299"/>
      <c r="R157" s="296"/>
      <c r="Z157" s="296"/>
      <c r="AA157" s="300"/>
    </row>
    <row r="158" spans="1:27">
      <c r="A158" s="300"/>
      <c r="C158" s="301"/>
      <c r="D158" s="300"/>
      <c r="E158" s="302"/>
      <c r="G158" s="300"/>
      <c r="I158" s="296"/>
      <c r="K158" s="303"/>
      <c r="L158" s="296"/>
      <c r="N158" s="297"/>
      <c r="O158" s="299"/>
      <c r="R158" s="296"/>
      <c r="Z158" s="296"/>
      <c r="AA158" s="300"/>
    </row>
    <row r="159" spans="1:27">
      <c r="A159" s="300"/>
      <c r="C159" s="301"/>
      <c r="D159" s="300"/>
      <c r="E159" s="302"/>
      <c r="G159" s="300"/>
      <c r="I159" s="296"/>
      <c r="K159" s="303"/>
      <c r="L159" s="296"/>
      <c r="N159" s="297"/>
      <c r="O159" s="299"/>
      <c r="R159" s="296"/>
      <c r="Z159" s="296"/>
      <c r="AA159" s="300"/>
    </row>
    <row r="160" spans="1:27">
      <c r="A160" s="300"/>
      <c r="C160" s="301"/>
      <c r="D160" s="300"/>
      <c r="E160" s="302"/>
      <c r="G160" s="300"/>
      <c r="I160" s="296"/>
      <c r="K160" s="303"/>
      <c r="L160" s="296"/>
      <c r="N160" s="297"/>
      <c r="O160" s="299"/>
      <c r="R160" s="296"/>
      <c r="Z160" s="296"/>
      <c r="AA160" s="300"/>
    </row>
    <row r="161" spans="1:27">
      <c r="A161" s="300"/>
      <c r="C161" s="301"/>
      <c r="D161" s="300"/>
      <c r="E161" s="302"/>
      <c r="G161" s="300"/>
      <c r="I161" s="296"/>
      <c r="K161" s="303"/>
      <c r="L161" s="296"/>
      <c r="N161" s="297"/>
      <c r="O161" s="299"/>
      <c r="R161" s="296"/>
      <c r="Z161" s="296"/>
      <c r="AA161" s="300"/>
    </row>
    <row r="162" spans="1:27">
      <c r="A162" s="300"/>
      <c r="C162" s="301"/>
      <c r="D162" s="300"/>
      <c r="E162" s="302"/>
      <c r="G162" s="300"/>
      <c r="I162" s="296"/>
      <c r="K162" s="303"/>
      <c r="L162" s="296"/>
      <c r="N162" s="297"/>
      <c r="O162" s="299"/>
      <c r="R162" s="296"/>
      <c r="Z162" s="296"/>
      <c r="AA162" s="300"/>
    </row>
    <row r="163" spans="1:27">
      <c r="A163" s="300"/>
      <c r="C163" s="301"/>
      <c r="D163" s="300"/>
      <c r="E163" s="302"/>
      <c r="G163" s="300"/>
      <c r="I163" s="296"/>
      <c r="K163" s="303"/>
      <c r="L163" s="296"/>
      <c r="N163" s="297"/>
      <c r="O163" s="299"/>
      <c r="R163" s="296"/>
      <c r="Z163" s="296"/>
      <c r="AA163" s="300"/>
    </row>
    <row r="164" spans="1:27">
      <c r="A164" s="300"/>
      <c r="C164" s="301"/>
      <c r="D164" s="300"/>
      <c r="E164" s="302"/>
      <c r="G164" s="300"/>
      <c r="I164" s="296"/>
      <c r="K164" s="303"/>
      <c r="L164" s="296"/>
      <c r="N164" s="297"/>
      <c r="O164" s="299"/>
      <c r="R164" s="296"/>
      <c r="Z164" s="296"/>
      <c r="AA164" s="300"/>
    </row>
    <row r="165" spans="1:27">
      <c r="A165" s="300"/>
      <c r="C165" s="301"/>
      <c r="D165" s="300"/>
      <c r="E165" s="302"/>
      <c r="G165" s="300"/>
      <c r="I165" s="296"/>
      <c r="K165" s="303"/>
      <c r="L165" s="296"/>
      <c r="N165" s="297"/>
      <c r="O165" s="299"/>
      <c r="R165" s="296"/>
      <c r="Z165" s="296"/>
      <c r="AA165" s="300"/>
    </row>
    <row r="166" spans="1:27">
      <c r="A166" s="300"/>
      <c r="C166" s="301"/>
      <c r="D166" s="300"/>
      <c r="E166" s="302"/>
      <c r="G166" s="300"/>
      <c r="I166" s="296"/>
      <c r="K166" s="303"/>
      <c r="L166" s="296"/>
      <c r="N166" s="297"/>
      <c r="O166" s="299"/>
      <c r="R166" s="296"/>
      <c r="Z166" s="296"/>
      <c r="AA166" s="300"/>
    </row>
    <row r="167" spans="1:27">
      <c r="A167" s="300"/>
      <c r="C167" s="301"/>
      <c r="D167" s="300"/>
      <c r="E167" s="302"/>
      <c r="G167" s="300"/>
      <c r="I167" s="296"/>
      <c r="K167" s="303"/>
      <c r="L167" s="296"/>
      <c r="N167" s="297"/>
      <c r="O167" s="299"/>
      <c r="R167" s="296"/>
      <c r="Z167" s="296"/>
      <c r="AA167" s="300"/>
    </row>
    <row r="168" spans="1:27">
      <c r="A168" s="300"/>
      <c r="C168" s="301"/>
      <c r="D168" s="300"/>
      <c r="E168" s="302"/>
      <c r="G168" s="300"/>
      <c r="I168" s="296"/>
      <c r="K168" s="303"/>
      <c r="L168" s="296"/>
      <c r="N168" s="297"/>
      <c r="O168" s="299"/>
      <c r="R168" s="296"/>
      <c r="Z168" s="296"/>
      <c r="AA168" s="300"/>
    </row>
    <row r="169" spans="1:27">
      <c r="A169" s="300"/>
      <c r="C169" s="301"/>
      <c r="D169" s="300"/>
      <c r="E169" s="302"/>
      <c r="G169" s="300"/>
      <c r="I169" s="296"/>
      <c r="K169" s="303"/>
      <c r="L169" s="296"/>
      <c r="N169" s="297"/>
      <c r="O169" s="299"/>
      <c r="R169" s="296"/>
      <c r="Z169" s="296"/>
      <c r="AA169" s="300"/>
    </row>
    <row r="170" spans="1:27">
      <c r="A170" s="300"/>
      <c r="C170" s="301"/>
      <c r="D170" s="300"/>
      <c r="E170" s="302"/>
      <c r="G170" s="300"/>
      <c r="I170" s="296"/>
      <c r="K170" s="303"/>
      <c r="L170" s="296"/>
      <c r="N170" s="297"/>
      <c r="O170" s="299"/>
      <c r="R170" s="296"/>
      <c r="Z170" s="296"/>
      <c r="AA170" s="300"/>
    </row>
    <row r="171" spans="1:27">
      <c r="A171" s="300"/>
      <c r="C171" s="301"/>
      <c r="D171" s="300"/>
      <c r="E171" s="302"/>
      <c r="G171" s="300"/>
      <c r="I171" s="296"/>
      <c r="K171" s="303"/>
      <c r="L171" s="296"/>
      <c r="N171" s="297"/>
      <c r="O171" s="299"/>
      <c r="R171" s="296"/>
      <c r="Z171" s="296"/>
      <c r="AA171" s="300"/>
    </row>
    <row r="172" spans="1:27">
      <c r="A172" s="300"/>
      <c r="C172" s="301"/>
      <c r="D172" s="300"/>
      <c r="E172" s="302"/>
      <c r="G172" s="300"/>
      <c r="I172" s="296"/>
      <c r="K172" s="303"/>
      <c r="L172" s="296"/>
      <c r="N172" s="297"/>
      <c r="O172" s="299"/>
      <c r="R172" s="296"/>
      <c r="Z172" s="296"/>
      <c r="AA172" s="300"/>
    </row>
    <row r="173" spans="1:27">
      <c r="A173" s="300"/>
      <c r="C173" s="301"/>
      <c r="D173" s="300"/>
      <c r="E173" s="302"/>
      <c r="G173" s="300"/>
      <c r="I173" s="296"/>
      <c r="K173" s="303"/>
      <c r="L173" s="296"/>
      <c r="N173" s="297"/>
      <c r="O173" s="299"/>
      <c r="R173" s="296"/>
      <c r="Z173" s="296"/>
      <c r="AA173" s="300"/>
    </row>
    <row r="174" spans="1:27">
      <c r="A174" s="300"/>
      <c r="C174" s="301"/>
      <c r="D174" s="300"/>
      <c r="E174" s="302"/>
      <c r="G174" s="300"/>
      <c r="I174" s="296"/>
      <c r="K174" s="303"/>
      <c r="L174" s="296"/>
      <c r="N174" s="297"/>
      <c r="O174" s="299"/>
      <c r="R174" s="296"/>
      <c r="Z174" s="296"/>
      <c r="AA174" s="300"/>
    </row>
    <row r="175" spans="1:27">
      <c r="A175" s="300"/>
      <c r="C175" s="301"/>
      <c r="D175" s="300"/>
      <c r="E175" s="302"/>
      <c r="G175" s="300"/>
      <c r="I175" s="296"/>
      <c r="K175" s="303"/>
      <c r="L175" s="296"/>
      <c r="N175" s="297"/>
      <c r="O175" s="299"/>
      <c r="R175" s="296"/>
      <c r="Z175" s="296"/>
      <c r="AA175" s="300"/>
    </row>
    <row r="176" spans="1:27">
      <c r="A176" s="300"/>
      <c r="C176" s="301"/>
      <c r="D176" s="300"/>
      <c r="E176" s="302"/>
      <c r="G176" s="300"/>
      <c r="I176" s="296"/>
      <c r="K176" s="303"/>
      <c r="L176" s="296"/>
      <c r="N176" s="297"/>
      <c r="O176" s="299"/>
      <c r="R176" s="296"/>
      <c r="Z176" s="296"/>
      <c r="AA176" s="300"/>
    </row>
    <row r="177" spans="1:27">
      <c r="A177" s="300"/>
      <c r="C177" s="301"/>
      <c r="D177" s="300"/>
      <c r="E177" s="302"/>
      <c r="G177" s="300"/>
      <c r="I177" s="296"/>
      <c r="K177" s="303"/>
      <c r="L177" s="296"/>
      <c r="N177" s="297"/>
      <c r="O177" s="299"/>
      <c r="R177" s="296"/>
      <c r="Z177" s="296"/>
      <c r="AA177" s="300"/>
    </row>
    <row r="178" spans="1:27">
      <c r="A178" s="300"/>
      <c r="C178" s="301"/>
      <c r="D178" s="300"/>
      <c r="E178" s="302"/>
      <c r="G178" s="300"/>
      <c r="I178" s="296"/>
      <c r="K178" s="303"/>
      <c r="L178" s="296"/>
      <c r="N178" s="297"/>
      <c r="O178" s="299"/>
      <c r="R178" s="296"/>
      <c r="Z178" s="296"/>
      <c r="AA178" s="300"/>
    </row>
    <row r="179" spans="1:27">
      <c r="A179" s="300"/>
      <c r="C179" s="301"/>
      <c r="D179" s="300"/>
      <c r="E179" s="302"/>
      <c r="G179" s="300"/>
      <c r="I179" s="296"/>
      <c r="K179" s="303"/>
      <c r="L179" s="296"/>
      <c r="N179" s="297"/>
      <c r="O179" s="299"/>
      <c r="R179" s="296"/>
      <c r="Z179" s="296"/>
      <c r="AA179" s="300"/>
    </row>
    <row r="180" spans="1:27">
      <c r="A180" s="300"/>
      <c r="C180" s="301"/>
      <c r="D180" s="300"/>
      <c r="E180" s="302"/>
      <c r="G180" s="300"/>
      <c r="I180" s="296"/>
      <c r="K180" s="303"/>
      <c r="L180" s="296"/>
      <c r="N180" s="297"/>
      <c r="O180" s="299"/>
      <c r="R180" s="296"/>
      <c r="Z180" s="296"/>
      <c r="AA180" s="300"/>
    </row>
    <row r="181" spans="1:27">
      <c r="A181" s="300"/>
      <c r="C181" s="301"/>
      <c r="D181" s="300"/>
      <c r="E181" s="302"/>
      <c r="G181" s="300"/>
      <c r="I181" s="296"/>
      <c r="K181" s="303"/>
      <c r="L181" s="296"/>
      <c r="N181" s="297"/>
      <c r="O181" s="299"/>
      <c r="R181" s="296"/>
      <c r="Z181" s="296"/>
      <c r="AA181" s="300"/>
    </row>
    <row r="182" spans="1:27">
      <c r="A182" s="300"/>
      <c r="C182" s="301"/>
      <c r="D182" s="300"/>
      <c r="E182" s="302"/>
      <c r="G182" s="300"/>
      <c r="I182" s="296"/>
      <c r="K182" s="303"/>
      <c r="L182" s="296"/>
      <c r="N182" s="297"/>
      <c r="O182" s="299"/>
      <c r="R182" s="296"/>
      <c r="Z182" s="296"/>
      <c r="AA182" s="300"/>
    </row>
    <row r="183" spans="1:27">
      <c r="A183" s="300"/>
      <c r="C183" s="301"/>
      <c r="D183" s="300"/>
      <c r="E183" s="302"/>
      <c r="G183" s="300"/>
      <c r="I183" s="296"/>
      <c r="K183" s="303"/>
      <c r="L183" s="296"/>
      <c r="N183" s="297"/>
      <c r="O183" s="299"/>
      <c r="R183" s="296"/>
      <c r="Z183" s="296"/>
      <c r="AA183" s="300"/>
    </row>
    <row r="184" spans="1:27">
      <c r="A184" s="300"/>
      <c r="C184" s="301"/>
      <c r="D184" s="300"/>
      <c r="E184" s="302"/>
      <c r="G184" s="300"/>
      <c r="I184" s="296"/>
      <c r="K184" s="303"/>
      <c r="L184" s="296"/>
      <c r="N184" s="297"/>
      <c r="O184" s="299"/>
      <c r="R184" s="296"/>
      <c r="Z184" s="296"/>
      <c r="AA184" s="300"/>
    </row>
    <row r="185" spans="1:27">
      <c r="K185" s="303"/>
      <c r="L185" s="296"/>
      <c r="N185" s="297"/>
      <c r="O185" s="299"/>
      <c r="R185" s="296"/>
      <c r="Z185" s="296"/>
      <c r="AA185" s="300"/>
    </row>
    <row r="186" spans="1:27">
      <c r="K186" s="303"/>
      <c r="L186" s="296"/>
      <c r="N186" s="297"/>
      <c r="O186" s="299"/>
      <c r="R186" s="296"/>
      <c r="Z186" s="296"/>
      <c r="AA186" s="300"/>
    </row>
  </sheetData>
  <sheetProtection sheet="1" objects="1" scenarios="1"/>
  <mergeCells count="35">
    <mergeCell ref="A88:I91"/>
    <mergeCell ref="A85:B85"/>
    <mergeCell ref="A14:C14"/>
    <mergeCell ref="A15:C15"/>
    <mergeCell ref="A16:C16"/>
    <mergeCell ref="A81:B81"/>
    <mergeCell ref="A82:B82"/>
    <mergeCell ref="A83:B83"/>
    <mergeCell ref="A84:B84"/>
    <mergeCell ref="A87:B87"/>
    <mergeCell ref="A17:C17"/>
    <mergeCell ref="G16:I16"/>
    <mergeCell ref="G15:I15"/>
    <mergeCell ref="A9:C9"/>
    <mergeCell ref="A10:C10"/>
    <mergeCell ref="A11:C11"/>
    <mergeCell ref="A12:C12"/>
    <mergeCell ref="A13:C13"/>
    <mergeCell ref="A1:I1"/>
    <mergeCell ref="G4:I4"/>
    <mergeCell ref="G7:I7"/>
    <mergeCell ref="G8:I8"/>
    <mergeCell ref="D8:F8"/>
    <mergeCell ref="D9:F9"/>
    <mergeCell ref="G12:I12"/>
    <mergeCell ref="G14:I14"/>
    <mergeCell ref="G6:I6"/>
    <mergeCell ref="G10:I10"/>
    <mergeCell ref="G9:I9"/>
    <mergeCell ref="D10:F10"/>
    <mergeCell ref="D11:F11"/>
    <mergeCell ref="G11:I11"/>
    <mergeCell ref="D13:F13"/>
    <mergeCell ref="D12:F12"/>
    <mergeCell ref="G13:I13"/>
  </mergeCells>
  <conditionalFormatting sqref="A9:C16">
    <cfRule type="expression" dxfId="17" priority="60">
      <formula>$K$1&lt;1</formula>
    </cfRule>
  </conditionalFormatting>
  <conditionalFormatting sqref="G10:I10">
    <cfRule type="expression" dxfId="16" priority="63">
      <formula>$L$1&lt;1</formula>
    </cfRule>
  </conditionalFormatting>
  <conditionalFormatting sqref="C83">
    <cfRule type="expression" dxfId="15" priority="65">
      <formula>$C$83&lt;&gt;$K$81</formula>
    </cfRule>
  </conditionalFormatting>
  <conditionalFormatting sqref="K19:K79">
    <cfRule type="duplicateValues" dxfId="14" priority="19"/>
  </conditionalFormatting>
  <conditionalFormatting sqref="D19:D79">
    <cfRule type="expression" dxfId="13" priority="12">
      <formula>AND(B19&lt;&gt;"",D19="")</formula>
    </cfRule>
    <cfRule type="expression" dxfId="12" priority="16">
      <formula>AND(C19="U",D19="")</formula>
    </cfRule>
    <cfRule type="expression" dxfId="11" priority="17">
      <formula>AND(C19="Kg",D19&lt;&gt;1)</formula>
    </cfRule>
    <cfRule type="expression" dxfId="10" priority="18">
      <formula>AND(C19="Gr",D19&lt;&gt;1)</formula>
    </cfRule>
  </conditionalFormatting>
  <conditionalFormatting sqref="L19:L79">
    <cfRule type="expression" dxfId="9" priority="14">
      <formula>AND(K19&lt;&gt;"",L19="")</formula>
    </cfRule>
  </conditionalFormatting>
  <conditionalFormatting sqref="A19:A79">
    <cfRule type="expression" dxfId="8" priority="13">
      <formula>AND(B19&lt;&gt;"",A19="")</formula>
    </cfRule>
  </conditionalFormatting>
  <conditionalFormatting sqref="G12:I12">
    <cfRule type="expression" dxfId="7" priority="10">
      <formula>G12=""</formula>
    </cfRule>
  </conditionalFormatting>
  <conditionalFormatting sqref="E19:E79">
    <cfRule type="expression" dxfId="6" priority="7">
      <formula>AND(B19&lt;&gt;"",E19="")</formula>
    </cfRule>
  </conditionalFormatting>
  <conditionalFormatting sqref="J19:J79">
    <cfRule type="cellIs" dxfId="5" priority="3" operator="equal">
      <formula>0</formula>
    </cfRule>
    <cfRule type="expression" dxfId="4" priority="4">
      <formula>C19="U"</formula>
    </cfRule>
  </conditionalFormatting>
  <dataValidations count="5">
    <dataValidation type="list" allowBlank="1" showInputMessage="1" showErrorMessage="1" sqref="SL47 ACH47 AMD47 AVZ47 BFV47 BPR47 BZN47 CJJ47 CTF47 DDB47 DMX47 DWT47 EGP47 EQL47 FAH47 FKD47 FTZ47 GDV47 GNR47 GXN47 HHJ47 HRF47 IBB47 IKX47 IUT47 JEP47 JOL47 JYH47 KID47 KRZ47 LBV47 LLR47 LVN47 MFJ47 MPF47 MZB47 NIX47 NST47 OCP47 OML47 OWH47 PGD47 PPZ47 PZV47 QJR47 QTN47 RDJ47 RNF47 RXB47 SGX47 SQT47 TAP47 TKL47 TUH47 UED47 UNZ47 UXV47 VHR47 VRN47 WBJ47 WLF47 WVB47 IP47 WUY24:WUY32 WVD20:WVD23 WVD33:WVD46 WLC24:WLC32 WLH20:WLH23 WLH33:WLH46 WBG24:WBG32 WBL20:WBL23 WBL33:WBL46 VRK24:VRK32 VRP20:VRP23 VRP33:VRP46 VHO24:VHO32 VHT20:VHT23 VHT33:VHT46 UXS24:UXS32 UXX20:UXX23 UXX33:UXX46 UNW24:UNW32 UOB20:UOB23 UOB33:UOB46 UEA24:UEA32 UEF20:UEF23 UEF33:UEF46 TUE24:TUE32 TUJ20:TUJ23 TUJ33:TUJ46 TKI24:TKI32 TKN20:TKN23 TKN33:TKN46 TAM24:TAM32 TAR20:TAR23 TAR33:TAR46 SQQ24:SQQ32 SQV20:SQV23 SQV33:SQV46 SGU24:SGU32 SGZ20:SGZ23 SGZ33:SGZ46 RWY24:RWY32 RXD20:RXD23 RXD33:RXD46 RNC24:RNC32 RNH20:RNH23 RNH33:RNH46 RDG24:RDG32 RDL20:RDL23 RDL33:RDL46 QTK24:QTK32 QTP20:QTP23 QTP33:QTP46 QJO24:QJO32 QJT20:QJT23 QJT33:QJT46 PZS24:PZS32 PZX20:PZX23 PZX33:PZX46 PPW24:PPW32 PQB20:PQB23 PQB33:PQB46 PGA24:PGA32 PGF20:PGF23 PGF33:PGF46 OWE24:OWE32 OWJ20:OWJ23 OWJ33:OWJ46 OMI24:OMI32 OMN20:OMN23 OMN33:OMN46 OCM24:OCM32 OCR20:OCR23 OCR33:OCR46 NSQ24:NSQ32 NSV20:NSV23 NSV33:NSV46 NIU24:NIU32 NIZ20:NIZ23 NIZ33:NIZ46 MYY24:MYY32 MZD20:MZD23 MZD33:MZD46 MPC24:MPC32 MPH20:MPH23 MPH33:MPH46 MFG24:MFG32 MFL20:MFL23 MFL33:MFL46 LVK24:LVK32 LVP20:LVP23 LVP33:LVP46 LLO24:LLO32 LLT20:LLT23 LLT33:LLT46 LBS24:LBS32 LBX20:LBX23 LBX33:LBX46 KRW24:KRW32 KSB20:KSB23 KSB33:KSB46 KIA24:KIA32 KIF20:KIF23 KIF33:KIF46 JYE24:JYE32 JYJ20:JYJ23 JYJ33:JYJ46 JOI24:JOI32 JON20:JON23 JON33:JON46 JEM24:JEM32 JER20:JER23 JER33:JER46 IUQ24:IUQ32 IUV20:IUV23 IUV33:IUV46 IKU24:IKU32 IKZ20:IKZ23 IKZ33:IKZ46 IAY24:IAY32 IBD20:IBD23 IBD33:IBD46 HRC24:HRC32 HRH20:HRH23 HRH33:HRH46 HHG24:HHG32 HHL20:HHL23 HHL33:HHL46 GXK24:GXK32 GXP20:GXP23 GXP33:GXP46 GNO24:GNO32 GNT20:GNT23 GNT33:GNT46 GDS24:GDS32 GDX20:GDX23 GDX33:GDX46 FTW24:FTW32 FUB20:FUB23 FUB33:FUB46 FKA24:FKA32 FKF20:FKF23 FKF33:FKF46 FAE24:FAE32 FAJ20:FAJ23 FAJ33:FAJ46 EQI24:EQI32 EQN20:EQN23 EQN33:EQN46 EGM24:EGM32 EGR20:EGR23 EGR33:EGR46 DWQ24:DWQ32 DWV20:DWV23 DWV33:DWV46 DMU24:DMU32 DMZ20:DMZ23 DMZ33:DMZ46 DCY24:DCY32 DDD20:DDD23 DDD33:DDD46 CTC24:CTC32 CTH20:CTH23 CTH33:CTH46 CJG24:CJG32 CJL20:CJL23 CJL33:CJL46 BZK24:BZK32 BZP20:BZP23 BZP33:BZP46 BPO24:BPO32 BPT20:BPT23 BPT33:BPT46 BFS24:BFS32 BFX20:BFX23 BFX33:BFX46 AVW24:AVW32 AWB20:AWB23 AWB33:AWB46 AMA24:AMA32 AMF20:AMF23 AMF33:AMF46 ACE24:ACE32 ACJ20:ACJ23 ACJ33:ACJ46 SI24:SI32 SN20:SN23 SN33:SN46 IM24:IM32 IR20:IR23 IR33:IR46 JC65586:JC65613 WVO983090:WVO983117 WLS983090:WLS983117 WBW983090:WBW983117 VSA983090:VSA983117 VIE983090:VIE983117 UYI983090:UYI983117 UOM983090:UOM983117 UEQ983090:UEQ983117 TUU983090:TUU983117 TKY983090:TKY983117 TBC983090:TBC983117 SRG983090:SRG983117 SHK983090:SHK983117 RXO983090:RXO983117 RNS983090:RNS983117 RDW983090:RDW983117 QUA983090:QUA983117 QKE983090:QKE983117 QAI983090:QAI983117 PQM983090:PQM983117 PGQ983090:PGQ983117 OWU983090:OWU983117 OMY983090:OMY983117 ODC983090:ODC983117 NTG983090:NTG983117 NJK983090:NJK983117 MZO983090:MZO983117 MPS983090:MPS983117 MFW983090:MFW983117 LWA983090:LWA983117 LME983090:LME983117 LCI983090:LCI983117 KSM983090:KSM983117 KIQ983090:KIQ983117 JYU983090:JYU983117 JOY983090:JOY983117 JFC983090:JFC983117 IVG983090:IVG983117 ILK983090:ILK983117 IBO983090:IBO983117 HRS983090:HRS983117 HHW983090:HHW983117 GYA983090:GYA983117 GOE983090:GOE983117 GEI983090:GEI983117 FUM983090:FUM983117 FKQ983090:FKQ983117 FAU983090:FAU983117 EQY983090:EQY983117 EHC983090:EHC983117 DXG983090:DXG983117 DNK983090:DNK983117 DDO983090:DDO983117 CTS983090:CTS983117 CJW983090:CJW983117 CAA983090:CAA983117 BQE983090:BQE983117 BGI983090:BGI983117 AWM983090:AWM983117 AMQ983090:AMQ983117 ACU983090:ACU983117 SY983090:SY983117 JC983090:JC983117 WVO917554:WVO917581 WLS917554:WLS917581 WBW917554:WBW917581 VSA917554:VSA917581 VIE917554:VIE917581 UYI917554:UYI917581 UOM917554:UOM917581 UEQ917554:UEQ917581 TUU917554:TUU917581 TKY917554:TKY917581 TBC917554:TBC917581 SRG917554:SRG917581 SHK917554:SHK917581 RXO917554:RXO917581 RNS917554:RNS917581 RDW917554:RDW917581 QUA917554:QUA917581 QKE917554:QKE917581 QAI917554:QAI917581 PQM917554:PQM917581 PGQ917554:PGQ917581 OWU917554:OWU917581 OMY917554:OMY917581 ODC917554:ODC917581 NTG917554:NTG917581 NJK917554:NJK917581 MZO917554:MZO917581 MPS917554:MPS917581 MFW917554:MFW917581 LWA917554:LWA917581 LME917554:LME917581 LCI917554:LCI917581 KSM917554:KSM917581 KIQ917554:KIQ917581 JYU917554:JYU917581 JOY917554:JOY917581 JFC917554:JFC917581 IVG917554:IVG917581 ILK917554:ILK917581 IBO917554:IBO917581 HRS917554:HRS917581 HHW917554:HHW917581 GYA917554:GYA917581 GOE917554:GOE917581 GEI917554:GEI917581 FUM917554:FUM917581 FKQ917554:FKQ917581 FAU917554:FAU917581 EQY917554:EQY917581 EHC917554:EHC917581 DXG917554:DXG917581 DNK917554:DNK917581 DDO917554:DDO917581 CTS917554:CTS917581 CJW917554:CJW917581 CAA917554:CAA917581 BQE917554:BQE917581 BGI917554:BGI917581 AWM917554:AWM917581 AMQ917554:AMQ917581 ACU917554:ACU917581 SY917554:SY917581 JC917554:JC917581 WVO852018:WVO852045 WLS852018:WLS852045 WBW852018:WBW852045 VSA852018:VSA852045 VIE852018:VIE852045 UYI852018:UYI852045 UOM852018:UOM852045 UEQ852018:UEQ852045 TUU852018:TUU852045 TKY852018:TKY852045 TBC852018:TBC852045 SRG852018:SRG852045 SHK852018:SHK852045 RXO852018:RXO852045 RNS852018:RNS852045 RDW852018:RDW852045 QUA852018:QUA852045 QKE852018:QKE852045 QAI852018:QAI852045 PQM852018:PQM852045 PGQ852018:PGQ852045 OWU852018:OWU852045 OMY852018:OMY852045 ODC852018:ODC852045 NTG852018:NTG852045 NJK852018:NJK852045 MZO852018:MZO852045 MPS852018:MPS852045 MFW852018:MFW852045 LWA852018:LWA852045 LME852018:LME852045 LCI852018:LCI852045 KSM852018:KSM852045 KIQ852018:KIQ852045 JYU852018:JYU852045 JOY852018:JOY852045 JFC852018:JFC852045 IVG852018:IVG852045 ILK852018:ILK852045 IBO852018:IBO852045 HRS852018:HRS852045 HHW852018:HHW852045 GYA852018:GYA852045 GOE852018:GOE852045 GEI852018:GEI852045 FUM852018:FUM852045 FKQ852018:FKQ852045 FAU852018:FAU852045 EQY852018:EQY852045 EHC852018:EHC852045 DXG852018:DXG852045 DNK852018:DNK852045 DDO852018:DDO852045 CTS852018:CTS852045 CJW852018:CJW852045 CAA852018:CAA852045 BQE852018:BQE852045 BGI852018:BGI852045 AWM852018:AWM852045 AMQ852018:AMQ852045 ACU852018:ACU852045 SY852018:SY852045 JC852018:JC852045 WVO786482:WVO786509 WLS786482:WLS786509 WBW786482:WBW786509 VSA786482:VSA786509 VIE786482:VIE786509 UYI786482:UYI786509 UOM786482:UOM786509 UEQ786482:UEQ786509 TUU786482:TUU786509 TKY786482:TKY786509 TBC786482:TBC786509 SRG786482:SRG786509 SHK786482:SHK786509 RXO786482:RXO786509 RNS786482:RNS786509 RDW786482:RDW786509 QUA786482:QUA786509 QKE786482:QKE786509 QAI786482:QAI786509 PQM786482:PQM786509 PGQ786482:PGQ786509 OWU786482:OWU786509 OMY786482:OMY786509 ODC786482:ODC786509 NTG786482:NTG786509 NJK786482:NJK786509 MZO786482:MZO786509 MPS786482:MPS786509 MFW786482:MFW786509 LWA786482:LWA786509 LME786482:LME786509 LCI786482:LCI786509 KSM786482:KSM786509 KIQ786482:KIQ786509 JYU786482:JYU786509 JOY786482:JOY786509 JFC786482:JFC786509 IVG786482:IVG786509 ILK786482:ILK786509 IBO786482:IBO786509 HRS786482:HRS786509 HHW786482:HHW786509 GYA786482:GYA786509 GOE786482:GOE786509 GEI786482:GEI786509 FUM786482:FUM786509 FKQ786482:FKQ786509 FAU786482:FAU786509 EQY786482:EQY786509 EHC786482:EHC786509 DXG786482:DXG786509 DNK786482:DNK786509 DDO786482:DDO786509 CTS786482:CTS786509 CJW786482:CJW786509 CAA786482:CAA786509 BQE786482:BQE786509 BGI786482:BGI786509 AWM786482:AWM786509 AMQ786482:AMQ786509 ACU786482:ACU786509 SY786482:SY786509 JC786482:JC786509 WVO720946:WVO720973 WLS720946:WLS720973 WBW720946:WBW720973 VSA720946:VSA720973 VIE720946:VIE720973 UYI720946:UYI720973 UOM720946:UOM720973 UEQ720946:UEQ720973 TUU720946:TUU720973 TKY720946:TKY720973 TBC720946:TBC720973 SRG720946:SRG720973 SHK720946:SHK720973 RXO720946:RXO720973 RNS720946:RNS720973 RDW720946:RDW720973 QUA720946:QUA720973 QKE720946:QKE720973 QAI720946:QAI720973 PQM720946:PQM720973 PGQ720946:PGQ720973 OWU720946:OWU720973 OMY720946:OMY720973 ODC720946:ODC720973 NTG720946:NTG720973 NJK720946:NJK720973 MZO720946:MZO720973 MPS720946:MPS720973 MFW720946:MFW720973 LWA720946:LWA720973 LME720946:LME720973 LCI720946:LCI720973 KSM720946:KSM720973 KIQ720946:KIQ720973 JYU720946:JYU720973 JOY720946:JOY720973 JFC720946:JFC720973 IVG720946:IVG720973 ILK720946:ILK720973 IBO720946:IBO720973 HRS720946:HRS720973 HHW720946:HHW720973 GYA720946:GYA720973 GOE720946:GOE720973 GEI720946:GEI720973 FUM720946:FUM720973 FKQ720946:FKQ720973 FAU720946:FAU720973 EQY720946:EQY720973 EHC720946:EHC720973 DXG720946:DXG720973 DNK720946:DNK720973 DDO720946:DDO720973 CTS720946:CTS720973 CJW720946:CJW720973 CAA720946:CAA720973 BQE720946:BQE720973 BGI720946:BGI720973 AWM720946:AWM720973 AMQ720946:AMQ720973 ACU720946:ACU720973 SY720946:SY720973 JC720946:JC720973 WVO655410:WVO655437 WLS655410:WLS655437 WBW655410:WBW655437 VSA655410:VSA655437 VIE655410:VIE655437 UYI655410:UYI655437 UOM655410:UOM655437 UEQ655410:UEQ655437 TUU655410:TUU655437 TKY655410:TKY655437 TBC655410:TBC655437 SRG655410:SRG655437 SHK655410:SHK655437 RXO655410:RXO655437 RNS655410:RNS655437 RDW655410:RDW655437 QUA655410:QUA655437 QKE655410:QKE655437 QAI655410:QAI655437 PQM655410:PQM655437 PGQ655410:PGQ655437 OWU655410:OWU655437 OMY655410:OMY655437 ODC655410:ODC655437 NTG655410:NTG655437 NJK655410:NJK655437 MZO655410:MZO655437 MPS655410:MPS655437 MFW655410:MFW655437 LWA655410:LWA655437 LME655410:LME655437 LCI655410:LCI655437 KSM655410:KSM655437 KIQ655410:KIQ655437 JYU655410:JYU655437 JOY655410:JOY655437 JFC655410:JFC655437 IVG655410:IVG655437 ILK655410:ILK655437 IBO655410:IBO655437 HRS655410:HRS655437 HHW655410:HHW655437 GYA655410:GYA655437 GOE655410:GOE655437 GEI655410:GEI655437 FUM655410:FUM655437 FKQ655410:FKQ655437 FAU655410:FAU655437 EQY655410:EQY655437 EHC655410:EHC655437 DXG655410:DXG655437 DNK655410:DNK655437 DDO655410:DDO655437 CTS655410:CTS655437 CJW655410:CJW655437 CAA655410:CAA655437 BQE655410:BQE655437 BGI655410:BGI655437 AWM655410:AWM655437 AMQ655410:AMQ655437 ACU655410:ACU655437 SY655410:SY655437 JC655410:JC655437 WVO589874:WVO589901 WLS589874:WLS589901 WBW589874:WBW589901 VSA589874:VSA589901 VIE589874:VIE589901 UYI589874:UYI589901 UOM589874:UOM589901 UEQ589874:UEQ589901 TUU589874:TUU589901 TKY589874:TKY589901 TBC589874:TBC589901 SRG589874:SRG589901 SHK589874:SHK589901 RXO589874:RXO589901 RNS589874:RNS589901 RDW589874:RDW589901 QUA589874:QUA589901 QKE589874:QKE589901 QAI589874:QAI589901 PQM589874:PQM589901 PGQ589874:PGQ589901 OWU589874:OWU589901 OMY589874:OMY589901 ODC589874:ODC589901 NTG589874:NTG589901 NJK589874:NJK589901 MZO589874:MZO589901 MPS589874:MPS589901 MFW589874:MFW589901 LWA589874:LWA589901 LME589874:LME589901 LCI589874:LCI589901 KSM589874:KSM589901 KIQ589874:KIQ589901 JYU589874:JYU589901 JOY589874:JOY589901 JFC589874:JFC589901 IVG589874:IVG589901 ILK589874:ILK589901 IBO589874:IBO589901 HRS589874:HRS589901 HHW589874:HHW589901 GYA589874:GYA589901 GOE589874:GOE589901 GEI589874:GEI589901 FUM589874:FUM589901 FKQ589874:FKQ589901 FAU589874:FAU589901 EQY589874:EQY589901 EHC589874:EHC589901 DXG589874:DXG589901 DNK589874:DNK589901 DDO589874:DDO589901 CTS589874:CTS589901 CJW589874:CJW589901 CAA589874:CAA589901 BQE589874:BQE589901 BGI589874:BGI589901 AWM589874:AWM589901 AMQ589874:AMQ589901 ACU589874:ACU589901 SY589874:SY589901 JC589874:JC589901 WVO524338:WVO524365 WLS524338:WLS524365 WBW524338:WBW524365 VSA524338:VSA524365 VIE524338:VIE524365 UYI524338:UYI524365 UOM524338:UOM524365 UEQ524338:UEQ524365 TUU524338:TUU524365 TKY524338:TKY524365 TBC524338:TBC524365 SRG524338:SRG524365 SHK524338:SHK524365 RXO524338:RXO524365 RNS524338:RNS524365 RDW524338:RDW524365 QUA524338:QUA524365 QKE524338:QKE524365 QAI524338:QAI524365 PQM524338:PQM524365 PGQ524338:PGQ524365 OWU524338:OWU524365 OMY524338:OMY524365 ODC524338:ODC524365 NTG524338:NTG524365 NJK524338:NJK524365 MZO524338:MZO524365 MPS524338:MPS524365 MFW524338:MFW524365 LWA524338:LWA524365 LME524338:LME524365 LCI524338:LCI524365 KSM524338:KSM524365 KIQ524338:KIQ524365 JYU524338:JYU524365 JOY524338:JOY524365 JFC524338:JFC524365 IVG524338:IVG524365 ILK524338:ILK524365 IBO524338:IBO524365 HRS524338:HRS524365 HHW524338:HHW524365 GYA524338:GYA524365 GOE524338:GOE524365 GEI524338:GEI524365 FUM524338:FUM524365 FKQ524338:FKQ524365 FAU524338:FAU524365 EQY524338:EQY524365 EHC524338:EHC524365 DXG524338:DXG524365 DNK524338:DNK524365 DDO524338:DDO524365 CTS524338:CTS524365 CJW524338:CJW524365 CAA524338:CAA524365 BQE524338:BQE524365 BGI524338:BGI524365 AWM524338:AWM524365 AMQ524338:AMQ524365 ACU524338:ACU524365 SY524338:SY524365 JC524338:JC524365 WVO458802:WVO458829 WLS458802:WLS458829 WBW458802:WBW458829 VSA458802:VSA458829 VIE458802:VIE458829 UYI458802:UYI458829 UOM458802:UOM458829 UEQ458802:UEQ458829 TUU458802:TUU458829 TKY458802:TKY458829 TBC458802:TBC458829 SRG458802:SRG458829 SHK458802:SHK458829 RXO458802:RXO458829 RNS458802:RNS458829 RDW458802:RDW458829 QUA458802:QUA458829 QKE458802:QKE458829 QAI458802:QAI458829 PQM458802:PQM458829 PGQ458802:PGQ458829 OWU458802:OWU458829 OMY458802:OMY458829 ODC458802:ODC458829 NTG458802:NTG458829 NJK458802:NJK458829 MZO458802:MZO458829 MPS458802:MPS458829 MFW458802:MFW458829 LWA458802:LWA458829 LME458802:LME458829 LCI458802:LCI458829 KSM458802:KSM458829 KIQ458802:KIQ458829 JYU458802:JYU458829 JOY458802:JOY458829 JFC458802:JFC458829 IVG458802:IVG458829 ILK458802:ILK458829 IBO458802:IBO458829 HRS458802:HRS458829 HHW458802:HHW458829 GYA458802:GYA458829 GOE458802:GOE458829 GEI458802:GEI458829 FUM458802:FUM458829 FKQ458802:FKQ458829 FAU458802:FAU458829 EQY458802:EQY458829 EHC458802:EHC458829 DXG458802:DXG458829 DNK458802:DNK458829 DDO458802:DDO458829 CTS458802:CTS458829 CJW458802:CJW458829 CAA458802:CAA458829 BQE458802:BQE458829 BGI458802:BGI458829 AWM458802:AWM458829 AMQ458802:AMQ458829 ACU458802:ACU458829 SY458802:SY458829 JC458802:JC458829 WVO393266:WVO393293 WLS393266:WLS393293 WBW393266:WBW393293 VSA393266:VSA393293 VIE393266:VIE393293 UYI393266:UYI393293 UOM393266:UOM393293 UEQ393266:UEQ393293 TUU393266:TUU393293 TKY393266:TKY393293 TBC393266:TBC393293 SRG393266:SRG393293 SHK393266:SHK393293 RXO393266:RXO393293 RNS393266:RNS393293 RDW393266:RDW393293 QUA393266:QUA393293 QKE393266:QKE393293 QAI393266:QAI393293 PQM393266:PQM393293 PGQ393266:PGQ393293 OWU393266:OWU393293 OMY393266:OMY393293 ODC393266:ODC393293 NTG393266:NTG393293 NJK393266:NJK393293 MZO393266:MZO393293 MPS393266:MPS393293 MFW393266:MFW393293 LWA393266:LWA393293 LME393266:LME393293 LCI393266:LCI393293 KSM393266:KSM393293 KIQ393266:KIQ393293 JYU393266:JYU393293 JOY393266:JOY393293 JFC393266:JFC393293 IVG393266:IVG393293 ILK393266:ILK393293 IBO393266:IBO393293 HRS393266:HRS393293 HHW393266:HHW393293 GYA393266:GYA393293 GOE393266:GOE393293 GEI393266:GEI393293 FUM393266:FUM393293 FKQ393266:FKQ393293 FAU393266:FAU393293 EQY393266:EQY393293 EHC393266:EHC393293 DXG393266:DXG393293 DNK393266:DNK393293 DDO393266:DDO393293 CTS393266:CTS393293 CJW393266:CJW393293 CAA393266:CAA393293 BQE393266:BQE393293 BGI393266:BGI393293 AWM393266:AWM393293 AMQ393266:AMQ393293 ACU393266:ACU393293 SY393266:SY393293 JC393266:JC393293 WVO327730:WVO327757 WLS327730:WLS327757 WBW327730:WBW327757 VSA327730:VSA327757 VIE327730:VIE327757 UYI327730:UYI327757 UOM327730:UOM327757 UEQ327730:UEQ327757 TUU327730:TUU327757 TKY327730:TKY327757 TBC327730:TBC327757 SRG327730:SRG327757 SHK327730:SHK327757 RXO327730:RXO327757 RNS327730:RNS327757 RDW327730:RDW327757 QUA327730:QUA327757 QKE327730:QKE327757 QAI327730:QAI327757 PQM327730:PQM327757 PGQ327730:PGQ327757 OWU327730:OWU327757 OMY327730:OMY327757 ODC327730:ODC327757 NTG327730:NTG327757 NJK327730:NJK327757 MZO327730:MZO327757 MPS327730:MPS327757 MFW327730:MFW327757 LWA327730:LWA327757 LME327730:LME327757 LCI327730:LCI327757 KSM327730:KSM327757 KIQ327730:KIQ327757 JYU327730:JYU327757 JOY327730:JOY327757 JFC327730:JFC327757 IVG327730:IVG327757 ILK327730:ILK327757 IBO327730:IBO327757 HRS327730:HRS327757 HHW327730:HHW327757 GYA327730:GYA327757 GOE327730:GOE327757 GEI327730:GEI327757 FUM327730:FUM327757 FKQ327730:FKQ327757 FAU327730:FAU327757 EQY327730:EQY327757 EHC327730:EHC327757 DXG327730:DXG327757 DNK327730:DNK327757 DDO327730:DDO327757 CTS327730:CTS327757 CJW327730:CJW327757 CAA327730:CAA327757 BQE327730:BQE327757 BGI327730:BGI327757 AWM327730:AWM327757 AMQ327730:AMQ327757 ACU327730:ACU327757 SY327730:SY327757 JC327730:JC327757 WVO262194:WVO262221 WLS262194:WLS262221 WBW262194:WBW262221 VSA262194:VSA262221 VIE262194:VIE262221 UYI262194:UYI262221 UOM262194:UOM262221 UEQ262194:UEQ262221 TUU262194:TUU262221 TKY262194:TKY262221 TBC262194:TBC262221 SRG262194:SRG262221 SHK262194:SHK262221 RXO262194:RXO262221 RNS262194:RNS262221 RDW262194:RDW262221 QUA262194:QUA262221 QKE262194:QKE262221 QAI262194:QAI262221 PQM262194:PQM262221 PGQ262194:PGQ262221 OWU262194:OWU262221 OMY262194:OMY262221 ODC262194:ODC262221 NTG262194:NTG262221 NJK262194:NJK262221 MZO262194:MZO262221 MPS262194:MPS262221 MFW262194:MFW262221 LWA262194:LWA262221 LME262194:LME262221 LCI262194:LCI262221 KSM262194:KSM262221 KIQ262194:KIQ262221 JYU262194:JYU262221 JOY262194:JOY262221 JFC262194:JFC262221 IVG262194:IVG262221 ILK262194:ILK262221 IBO262194:IBO262221 HRS262194:HRS262221 HHW262194:HHW262221 GYA262194:GYA262221 GOE262194:GOE262221 GEI262194:GEI262221 FUM262194:FUM262221 FKQ262194:FKQ262221 FAU262194:FAU262221 EQY262194:EQY262221 EHC262194:EHC262221 DXG262194:DXG262221 DNK262194:DNK262221 DDO262194:DDO262221 CTS262194:CTS262221 CJW262194:CJW262221 CAA262194:CAA262221 BQE262194:BQE262221 BGI262194:BGI262221 AWM262194:AWM262221 AMQ262194:AMQ262221 ACU262194:ACU262221 SY262194:SY262221 JC262194:JC262221 WVO196658:WVO196685 WLS196658:WLS196685 WBW196658:WBW196685 VSA196658:VSA196685 VIE196658:VIE196685 UYI196658:UYI196685 UOM196658:UOM196685 UEQ196658:UEQ196685 TUU196658:TUU196685 TKY196658:TKY196685 TBC196658:TBC196685 SRG196658:SRG196685 SHK196658:SHK196685 RXO196658:RXO196685 RNS196658:RNS196685 RDW196658:RDW196685 QUA196658:QUA196685 QKE196658:QKE196685 QAI196658:QAI196685 PQM196658:PQM196685 PGQ196658:PGQ196685 OWU196658:OWU196685 OMY196658:OMY196685 ODC196658:ODC196685 NTG196658:NTG196685 NJK196658:NJK196685 MZO196658:MZO196685 MPS196658:MPS196685 MFW196658:MFW196685 LWA196658:LWA196685 LME196658:LME196685 LCI196658:LCI196685 KSM196658:KSM196685 KIQ196658:KIQ196685 JYU196658:JYU196685 JOY196658:JOY196685 JFC196658:JFC196685 IVG196658:IVG196685 ILK196658:ILK196685 IBO196658:IBO196685 HRS196658:HRS196685 HHW196658:HHW196685 GYA196658:GYA196685 GOE196658:GOE196685 GEI196658:GEI196685 FUM196658:FUM196685 FKQ196658:FKQ196685 FAU196658:FAU196685 EQY196658:EQY196685 EHC196658:EHC196685 DXG196658:DXG196685 DNK196658:DNK196685 DDO196658:DDO196685 CTS196658:CTS196685 CJW196658:CJW196685 CAA196658:CAA196685 BQE196658:BQE196685 BGI196658:BGI196685 AWM196658:AWM196685 AMQ196658:AMQ196685 ACU196658:ACU196685 SY196658:SY196685 JC196658:JC196685 WVO131122:WVO131149 WLS131122:WLS131149 WBW131122:WBW131149 VSA131122:VSA131149 VIE131122:VIE131149 UYI131122:UYI131149 UOM131122:UOM131149 UEQ131122:UEQ131149 TUU131122:TUU131149 TKY131122:TKY131149 TBC131122:TBC131149 SRG131122:SRG131149 SHK131122:SHK131149 RXO131122:RXO131149 RNS131122:RNS131149 RDW131122:RDW131149 QUA131122:QUA131149 QKE131122:QKE131149 QAI131122:QAI131149 PQM131122:PQM131149 PGQ131122:PGQ131149 OWU131122:OWU131149 OMY131122:OMY131149 ODC131122:ODC131149 NTG131122:NTG131149 NJK131122:NJK131149 MZO131122:MZO131149 MPS131122:MPS131149 MFW131122:MFW131149 LWA131122:LWA131149 LME131122:LME131149 LCI131122:LCI131149 KSM131122:KSM131149 KIQ131122:KIQ131149 JYU131122:JYU131149 JOY131122:JOY131149 JFC131122:JFC131149 IVG131122:IVG131149 ILK131122:ILK131149 IBO131122:IBO131149 HRS131122:HRS131149 HHW131122:HHW131149 GYA131122:GYA131149 GOE131122:GOE131149 GEI131122:GEI131149 FUM131122:FUM131149 FKQ131122:FKQ131149 FAU131122:FAU131149 EQY131122:EQY131149 EHC131122:EHC131149 DXG131122:DXG131149 DNK131122:DNK131149 DDO131122:DDO131149 CTS131122:CTS131149 CJW131122:CJW131149 CAA131122:CAA131149 BQE131122:BQE131149 BGI131122:BGI131149 AWM131122:AWM131149 AMQ131122:AMQ131149 ACU131122:ACU131149 SY131122:SY131149 JC131122:JC131149 WVO65586:WVO65613 WLS65586:WLS65613 WBW65586:WBW65613 VSA65586:VSA65613 VIE65586:VIE65613 UYI65586:UYI65613 UOM65586:UOM65613 UEQ65586:UEQ65613 TUU65586:TUU65613 TKY65586:TKY65613 TBC65586:TBC65613 SRG65586:SRG65613 SHK65586:SHK65613 RXO65586:RXO65613 RNS65586:RNS65613 RDW65586:RDW65613 QUA65586:QUA65613 QKE65586:QKE65613 QAI65586:QAI65613 PQM65586:PQM65613 PGQ65586:PGQ65613 OWU65586:OWU65613 OMY65586:OMY65613 ODC65586:ODC65613 NTG65586:NTG65613 NJK65586:NJK65613 MZO65586:MZO65613 MPS65586:MPS65613 MFW65586:MFW65613 LWA65586:LWA65613 LME65586:LME65613 LCI65586:LCI65613 KSM65586:KSM65613 KIQ65586:KIQ65613 JYU65586:JYU65613 JOY65586:JOY65613 JFC65586:JFC65613 IVG65586:IVG65613 ILK65586:ILK65613 IBO65586:IBO65613 HRS65586:HRS65613 HHW65586:HHW65613 GYA65586:GYA65613 GOE65586:GOE65613 GEI65586:GEI65613 FUM65586:FUM65613 FKQ65586:FKQ65613 FAU65586:FAU65613 EQY65586:EQY65613 EHC65586:EHC65613 DXG65586:DXG65613 DNK65586:DNK65613 DDO65586:DDO65613 CTS65586:CTS65613 CJW65586:CJW65613 CAA65586:CAA65613 BQE65586:BQE65613 BGI65586:BGI65613 AWM65586:AWM65613 AMQ65586:AMQ65613 ACU65586:ACU65613 SY65586:SY65613 C65585:D65612 C131121:D131148 C196657:D196684 C262193:D262220 C327729:D327756 C393265:D393292 C458801:D458828 C524337:D524364 C589873:D589900 C655409:D655436 C720945:D720972 C786481:D786508 C852017:D852044 C917553:D917580 C983089:D983116 WVK49:WVK66 WVJ48 WLO49:WLO66 WLN48 WBS49:WBS66 WBR48 VRW49:VRW66 VRV48 VIA49:VIA66 VHZ48 UYE49:UYE66 UYD48 UOI49:UOI66 UOH48 UEM49:UEM66 UEL48 TUQ49:TUQ66 TUP48 TKU49:TKU66 TKT48 TAY49:TAY66 TAX48 SRC49:SRC66 SRB48 SHG49:SHG66 SHF48 RXK49:RXK66 RXJ48 RNO49:RNO66 RNN48 RDS49:RDS66 RDR48 QTW49:QTW66 QTV48 QKA49:QKA66 QJZ48 QAE49:QAE66 QAD48 PQI49:PQI66 PQH48 PGM49:PGM66 PGL48 OWQ49:OWQ66 OWP48 OMU49:OMU66 OMT48 OCY49:OCY66 OCX48 NTC49:NTC66 NTB48 NJG49:NJG66 NJF48 MZK49:MZK66 MZJ48 MPO49:MPO66 MPN48 MFS49:MFS66 MFR48 LVW49:LVW66 LVV48 LMA49:LMA66 LLZ48 LCE49:LCE66 LCD48 KSI49:KSI66 KSH48 KIM49:KIM66 KIL48 JYQ49:JYQ66 JYP48 JOU49:JOU66 JOT48 JEY49:JEY66 JEX48 IVC49:IVC66 IVB48 ILG49:ILG66 ILF48 IBK49:IBK66 IBJ48 HRO49:HRO66 HRN48 HHS49:HHS66 HHR48 GXW49:GXW66 GXV48 GOA49:GOA66 GNZ48 GEE49:GEE66 GED48 FUI49:FUI66 FUH48 FKM49:FKM66 FKL48 FAQ49:FAQ66 FAP48 EQU49:EQU66 EQT48 EGY49:EGY66 EGX48 DXC49:DXC66 DXB48 DNG49:DNG66 DNF48 DDK49:DDK66 DDJ48 CTO49:CTO66 CTN48 CJS49:CJS66 CJR48 BZW49:BZW66 BZV48 BQA49:BQA66 BPZ48 BGE49:BGE66 BGD48 AWI49:AWI66 AWH48 AMM49:AMM66 AML48 ACQ49:ACQ66 ACP48 SU49:SU66 ST48 IY49:IY66 IX48" xr:uid="{00000000-0002-0000-0A00-000000000000}">
      <formula1>ListePierres</formula1>
    </dataValidation>
    <dataValidation type="list" allowBlank="1" showInputMessage="1" showErrorMessage="1" sqref="K19:K79 A19:A68" xr:uid="{00000000-0002-0000-0A00-000001000000}">
      <formula1>$H$19:$H$68</formula1>
    </dataValidation>
    <dataValidation type="list" allowBlank="1" showInputMessage="1" showErrorMessage="1" sqref="B19:B79" xr:uid="{00000000-0002-0000-0A00-000002000000}">
      <formula1>Produits</formula1>
    </dataValidation>
    <dataValidation type="list" allowBlank="1" showInputMessage="1" showErrorMessage="1" sqref="L19:L79" xr:uid="{00000000-0002-0000-0A00-000003000000}">
      <formula1>Référence_Carton</formula1>
    </dataValidation>
    <dataValidation type="list" allowBlank="1" showInputMessage="1" showErrorMessage="1" sqref="G12:I12" xr:uid="{00000000-0002-0000-0A00-000004000000}">
      <formula1>$P$3:$P$8</formula1>
    </dataValidation>
  </dataValidations>
  <printOptions horizontalCentered="1"/>
  <pageMargins left="0.23622047244094491" right="0.23622047244094491" top="0.35433070866141736" bottom="0.39370078740157483" header="0.31496062992125984" footer="0.15748031496062992"/>
  <pageSetup paperSize="9" orientation="portrait" horizontalDpi="0" verticalDpi="0" r:id="rId1"/>
  <headerFooter>
    <oddFooter>&amp;C&amp;"Arial,Gras"&amp;10&amp;P to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84" r:id="rId4" name="Button 36">
              <controlPr defaultSize="0" print="0" autoFill="0" autoPict="0" macro="[0]!Aperçu_packing_List">
                <anchor moveWithCells="1" sizeWithCells="1">
                  <from>
                    <xdr:col>10</xdr:col>
                    <xdr:colOff>0</xdr:colOff>
                    <xdr:row>81</xdr:row>
                    <xdr:rowOff>66675</xdr:rowOff>
                  </from>
                  <to>
                    <xdr:col>14</xdr:col>
                    <xdr:colOff>38100</xdr:colOff>
                    <xdr:row>88</xdr:row>
                    <xdr:rowOff>57150</xdr:rowOff>
                  </to>
                </anchor>
              </controlPr>
            </control>
          </mc:Choice>
        </mc:AlternateContent>
        <mc:AlternateContent xmlns:mc="http://schemas.openxmlformats.org/markup-compatibility/2006">
          <mc:Choice Requires="x14">
            <control shapeId="2094" r:id="rId5" name="Button 46">
              <controlPr defaultSize="0" print="0" autoFill="0" autoPict="0" macro="[0]!Enregistre_Packing_List">
                <anchor moveWithCells="1" sizeWithCells="1">
                  <from>
                    <xdr:col>10</xdr:col>
                    <xdr:colOff>9525</xdr:colOff>
                    <xdr:row>89</xdr:row>
                    <xdr:rowOff>28575</xdr:rowOff>
                  </from>
                  <to>
                    <xdr:col>14</xdr:col>
                    <xdr:colOff>47625</xdr:colOff>
                    <xdr:row>95</xdr:row>
                    <xdr:rowOff>161925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2"/>
  <dimension ref="B1:H19"/>
  <sheetViews>
    <sheetView workbookViewId="0">
      <selection activeCell="C21" sqref="C21"/>
    </sheetView>
  </sheetViews>
  <sheetFormatPr baseColWidth="10" defaultRowHeight="15"/>
  <cols>
    <col min="2" max="2" width="5" customWidth="1"/>
    <col min="3" max="3" width="37.42578125" customWidth="1"/>
    <col min="7" max="7" width="4.7109375" customWidth="1"/>
    <col min="8" max="8" width="15.7109375" bestFit="1" customWidth="1"/>
  </cols>
  <sheetData>
    <row r="1" spans="2:8" ht="15.75" thickBot="1"/>
    <row r="2" spans="2:8" ht="16.5" thickTop="1" thickBot="1">
      <c r="B2" s="392" t="s">
        <v>19</v>
      </c>
      <c r="C2" s="175" t="s">
        <v>12</v>
      </c>
      <c r="E2" s="405">
        <v>4.8789999999999996</v>
      </c>
      <c r="G2" s="421" t="s">
        <v>19</v>
      </c>
      <c r="H2" s="426" t="s">
        <v>674</v>
      </c>
    </row>
    <row r="3" spans="2:8" ht="15.75" thickBot="1">
      <c r="B3" s="392" t="s">
        <v>19</v>
      </c>
      <c r="C3" s="175" t="s">
        <v>12</v>
      </c>
      <c r="E3" s="405">
        <v>4.875</v>
      </c>
      <c r="G3" s="422" t="s">
        <v>390</v>
      </c>
      <c r="H3" s="427" t="s">
        <v>674</v>
      </c>
    </row>
    <row r="4" spans="2:8" ht="15.75" thickBot="1">
      <c r="B4" s="392" t="s">
        <v>19</v>
      </c>
      <c r="C4" s="175" t="s">
        <v>12</v>
      </c>
      <c r="E4" s="405">
        <v>4.3419999999999996</v>
      </c>
      <c r="G4" s="422" t="s">
        <v>391</v>
      </c>
      <c r="H4" s="427" t="s">
        <v>674</v>
      </c>
    </row>
    <row r="5" spans="2:8" ht="15.75" thickBot="1">
      <c r="B5" s="392" t="s">
        <v>19</v>
      </c>
      <c r="C5" s="393" t="s">
        <v>12</v>
      </c>
      <c r="E5" s="405">
        <v>3.5470000000000002</v>
      </c>
      <c r="G5" s="422" t="s">
        <v>392</v>
      </c>
      <c r="H5" s="427" t="s">
        <v>674</v>
      </c>
    </row>
    <row r="6" spans="2:8" ht="15.75" thickBot="1">
      <c r="B6" s="392" t="s">
        <v>390</v>
      </c>
      <c r="C6" s="175" t="s">
        <v>9</v>
      </c>
      <c r="E6" s="405">
        <v>4.3419999999999996</v>
      </c>
      <c r="G6" s="422" t="s">
        <v>393</v>
      </c>
      <c r="H6" s="427" t="s">
        <v>674</v>
      </c>
    </row>
    <row r="7" spans="2:8" ht="15.75" thickBot="1">
      <c r="B7" s="392" t="s">
        <v>390</v>
      </c>
      <c r="C7" s="175" t="s">
        <v>9</v>
      </c>
      <c r="E7" s="405">
        <v>4.8949999999999996</v>
      </c>
      <c r="G7" s="422"/>
      <c r="H7" s="427"/>
    </row>
    <row r="8" spans="2:8" ht="15.75" thickBot="1">
      <c r="B8" s="392" t="s">
        <v>390</v>
      </c>
      <c r="C8" s="175" t="s">
        <v>9</v>
      </c>
      <c r="E8" s="405">
        <v>4.9980000000000002</v>
      </c>
      <c r="G8" s="422"/>
      <c r="H8" s="427"/>
    </row>
    <row r="9" spans="2:8">
      <c r="B9" s="392" t="s">
        <v>390</v>
      </c>
      <c r="C9" s="175" t="s">
        <v>9</v>
      </c>
      <c r="E9" s="405">
        <v>4.4710000000000001</v>
      </c>
    </row>
    <row r="10" spans="2:8">
      <c r="B10" s="392" t="s">
        <v>391</v>
      </c>
      <c r="C10" s="175" t="s">
        <v>14</v>
      </c>
      <c r="E10" s="407">
        <v>4.6589999999999998</v>
      </c>
    </row>
    <row r="11" spans="2:8">
      <c r="B11" s="392" t="s">
        <v>391</v>
      </c>
      <c r="C11" s="175" t="s">
        <v>14</v>
      </c>
      <c r="E11" s="407">
        <v>4.6449999999999996</v>
      </c>
    </row>
    <row r="12" spans="2:8">
      <c r="B12" s="392" t="s">
        <v>391</v>
      </c>
      <c r="C12" s="175" t="s">
        <v>14</v>
      </c>
      <c r="E12" s="407">
        <v>4.891</v>
      </c>
    </row>
    <row r="13" spans="2:8">
      <c r="B13" s="392" t="s">
        <v>391</v>
      </c>
      <c r="C13" s="175" t="s">
        <v>14</v>
      </c>
      <c r="E13" s="407">
        <v>4.2309999999999999</v>
      </c>
    </row>
    <row r="14" spans="2:8">
      <c r="B14" s="392" t="s">
        <v>392</v>
      </c>
      <c r="C14" s="175" t="s">
        <v>11</v>
      </c>
      <c r="E14" s="407">
        <v>19.756</v>
      </c>
    </row>
    <row r="15" spans="2:8">
      <c r="B15" s="392" t="s">
        <v>393</v>
      </c>
      <c r="C15" s="175" t="s">
        <v>15</v>
      </c>
      <c r="E15" s="408">
        <v>4.7839999999999998</v>
      </c>
    </row>
    <row r="16" spans="2:8">
      <c r="B16" s="392" t="s">
        <v>393</v>
      </c>
      <c r="C16" s="175" t="s">
        <v>15</v>
      </c>
      <c r="E16" s="408">
        <v>4.3280000000000003</v>
      </c>
    </row>
    <row r="17" spans="2:5">
      <c r="B17" s="392" t="s">
        <v>393</v>
      </c>
      <c r="C17" s="175" t="s">
        <v>15</v>
      </c>
      <c r="E17" s="408">
        <v>4.8789999999999996</v>
      </c>
    </row>
    <row r="18" spans="2:5">
      <c r="B18" s="392" t="s">
        <v>393</v>
      </c>
      <c r="C18" s="175" t="s">
        <v>15</v>
      </c>
      <c r="E18" s="409">
        <v>4.2169999999999996</v>
      </c>
    </row>
    <row r="19" spans="2:5">
      <c r="B19" s="392" t="s">
        <v>393</v>
      </c>
      <c r="C19" s="175" t="s">
        <v>13</v>
      </c>
      <c r="E19" s="409">
        <v>1.234</v>
      </c>
    </row>
  </sheetData>
  <conditionalFormatting sqref="B2:B19">
    <cfRule type="expression" dxfId="3" priority="4">
      <formula>AND(C2&lt;&gt;"",B2="")</formula>
    </cfRule>
  </conditionalFormatting>
  <conditionalFormatting sqref="E2:E19">
    <cfRule type="expression" dxfId="2" priority="3">
      <formula>AND(B2&lt;&gt;"",E2="")</formula>
    </cfRule>
  </conditionalFormatting>
  <conditionalFormatting sqref="G2:G8">
    <cfRule type="duplicateValues" dxfId="1" priority="2"/>
  </conditionalFormatting>
  <conditionalFormatting sqref="H2:H8">
    <cfRule type="expression" dxfId="0" priority="1">
      <formula>AND(G2&lt;&gt;"",H2="")</formula>
    </cfRule>
  </conditionalFormatting>
  <dataValidations count="3">
    <dataValidation type="list" allowBlank="1" showInputMessage="1" showErrorMessage="1" sqref="C2:C19" xr:uid="{00000000-0002-0000-0B00-000000000000}">
      <formula1>Produits</formula1>
    </dataValidation>
    <dataValidation type="list" allowBlank="1" showInputMessage="1" showErrorMessage="1" sqref="B2:B19 G2:G8" xr:uid="{00000000-0002-0000-0B00-000001000000}">
      <formula1>$H$19:$H$68</formula1>
    </dataValidation>
    <dataValidation type="list" allowBlank="1" showInputMessage="1" showErrorMessage="1" sqref="H2:H8" xr:uid="{00000000-0002-0000-0B00-000002000000}">
      <formula1>Référence_Carton</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11</vt:i4>
      </vt:variant>
    </vt:vector>
  </HeadingPairs>
  <TitlesOfParts>
    <vt:vector size="23" baseType="lpstr">
      <vt:lpstr>Sachet</vt:lpstr>
      <vt:lpstr>Customs Nom</vt:lpstr>
      <vt:lpstr>Conversion Ct Gr Kg</vt:lpstr>
      <vt:lpstr>Carton</vt:lpstr>
      <vt:lpstr>Produits</vt:lpstr>
      <vt:lpstr>Clients</vt:lpstr>
      <vt:lpstr>Tableau Croisé</vt:lpstr>
      <vt:lpstr>Tableau des Données</vt:lpstr>
      <vt:lpstr>Transfert de Données</vt:lpstr>
      <vt:lpstr>Facture</vt:lpstr>
      <vt:lpstr>Packing List</vt:lpstr>
      <vt:lpstr>Feuil1</vt:lpstr>
      <vt:lpstr>Clients</vt:lpstr>
      <vt:lpstr>Customs_Nomenclature</vt:lpstr>
      <vt:lpstr>Facture!Extraire</vt:lpstr>
      <vt:lpstr>'Packing List'!Extraire</vt:lpstr>
      <vt:lpstr>'Packing List'!Impression_des_titres</vt:lpstr>
      <vt:lpstr>Incoterms</vt:lpstr>
      <vt:lpstr>Monnaie</vt:lpstr>
      <vt:lpstr>Produits</vt:lpstr>
      <vt:lpstr>Référence_Carton</vt:lpstr>
      <vt:lpstr>Facture!Zone_d_impression</vt:lpstr>
      <vt:lpstr>'Packing List'!Zone_d_impression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dc:creator>
  <cp:lastModifiedBy>CARREAU Valentin</cp:lastModifiedBy>
  <cp:lastPrinted>2018-08-01T08:13:58Z</cp:lastPrinted>
  <dcterms:created xsi:type="dcterms:W3CDTF">2016-09-19T06:11:43Z</dcterms:created>
  <dcterms:modified xsi:type="dcterms:W3CDTF">2018-08-01T08:55:44Z</dcterms:modified>
</cp:coreProperties>
</file>