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xr:revisionPtr revIDLastSave="0" documentId="13_ncr:1_{F12526CF-EE0A-4765-8F3C-7EC053AE7E65}" xr6:coauthVersionLast="34" xr6:coauthVersionMax="34" xr10:uidLastSave="{00000000-0000-0000-0000-000000000000}"/>
  <bookViews>
    <workbookView xWindow="0" yWindow="0" windowWidth="11985" windowHeight="3885" xr2:uid="{71F0685E-DB22-4B74-B88A-9BD3264254AD}"/>
  </bookViews>
  <sheets>
    <sheet name="Personne 1" sheetId="1" r:id="rId1"/>
    <sheet name="Personne 2" sheetId="5" r:id="rId2"/>
    <sheet name="Suivi facturation" sheetId="3" r:id="rId3"/>
    <sheet name="Données" sheetId="2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5" l="1"/>
  <c r="E14" i="5"/>
  <c r="F13" i="5"/>
  <c r="E13" i="5"/>
  <c r="F12" i="5"/>
  <c r="E12" i="5"/>
  <c r="E11" i="5"/>
  <c r="E10" i="5"/>
  <c r="E9" i="5"/>
  <c r="E8" i="5"/>
  <c r="E7" i="5"/>
  <c r="K13" i="2" l="1"/>
  <c r="K14" i="2"/>
  <c r="K15" i="2"/>
  <c r="K16" i="2"/>
  <c r="K17" i="2"/>
  <c r="K18" i="2"/>
  <c r="K19" i="2"/>
  <c r="K20" i="2"/>
  <c r="K21" i="2"/>
  <c r="K22" i="2"/>
  <c r="K12" i="2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7" i="1"/>
  <c r="J12" i="2"/>
  <c r="J13" i="2"/>
  <c r="J14" i="2"/>
  <c r="J15" i="2"/>
  <c r="J16" i="2"/>
  <c r="J17" i="2"/>
  <c r="J18" i="2"/>
  <c r="J19" i="2"/>
  <c r="J20" i="2"/>
  <c r="J21" i="2"/>
  <c r="J22" i="2"/>
  <c r="I22" i="2"/>
  <c r="I21" i="2"/>
  <c r="I20" i="2"/>
  <c r="I19" i="2"/>
  <c r="I18" i="2"/>
  <c r="I15" i="2"/>
  <c r="I14" i="2"/>
  <c r="I13" i="2"/>
  <c r="I17" i="2" s="1"/>
  <c r="I12" i="2"/>
  <c r="I16" i="2" l="1"/>
  <c r="D20" i="1" l="1"/>
  <c r="D21" i="1" l="1"/>
  <c r="D19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2" i="2"/>
  <c r="F9" i="5" l="1"/>
  <c r="F8" i="5"/>
  <c r="F7" i="5"/>
  <c r="F11" i="5"/>
  <c r="F10" i="5"/>
  <c r="F20" i="1"/>
  <c r="F12" i="1"/>
  <c r="F21" i="1"/>
  <c r="F13" i="1"/>
  <c r="F7" i="1"/>
  <c r="F19" i="1"/>
  <c r="F14" i="1"/>
  <c r="F15" i="1"/>
  <c r="F8" i="1"/>
  <c r="F16" i="1"/>
  <c r="F9" i="1"/>
  <c r="F17" i="1"/>
  <c r="F11" i="1"/>
  <c r="F10" i="1"/>
  <c r="F18" i="1"/>
  <c r="G10" i="5" l="1"/>
  <c r="H10" i="5"/>
  <c r="G11" i="5"/>
  <c r="H11" i="5"/>
  <c r="G7" i="5"/>
  <c r="H7" i="5"/>
  <c r="H8" i="5"/>
  <c r="G8" i="5"/>
  <c r="K8" i="5" s="1"/>
  <c r="L8" i="5" s="1"/>
  <c r="H9" i="5"/>
  <c r="G9" i="5"/>
  <c r="K9" i="5" s="1"/>
  <c r="L9" i="5" s="1"/>
  <c r="G17" i="1"/>
  <c r="H17" i="1"/>
  <c r="G15" i="1"/>
  <c r="K15" i="1" s="1"/>
  <c r="L15" i="1" s="1"/>
  <c r="H15" i="1"/>
  <c r="G18" i="1"/>
  <c r="H18" i="1"/>
  <c r="G14" i="1"/>
  <c r="H14" i="1"/>
  <c r="G10" i="1"/>
  <c r="H10" i="1"/>
  <c r="G19" i="1"/>
  <c r="K19" i="1" s="1"/>
  <c r="L19" i="1" s="1"/>
  <c r="H19" i="1"/>
  <c r="G11" i="1"/>
  <c r="K11" i="1" s="1"/>
  <c r="L11" i="1" s="1"/>
  <c r="H11" i="1"/>
  <c r="G7" i="1"/>
  <c r="H7" i="1"/>
  <c r="G13" i="1"/>
  <c r="H13" i="1"/>
  <c r="G9" i="1"/>
  <c r="K9" i="1" s="1"/>
  <c r="L9" i="1" s="1"/>
  <c r="H9" i="1"/>
  <c r="G21" i="1"/>
  <c r="K21" i="1" s="1"/>
  <c r="L21" i="1" s="1"/>
  <c r="H21" i="1"/>
  <c r="G16" i="1"/>
  <c r="H16" i="1"/>
  <c r="G12" i="1"/>
  <c r="H12" i="1"/>
  <c r="G8" i="1"/>
  <c r="K8" i="1" s="1"/>
  <c r="L8" i="1" s="1"/>
  <c r="H8" i="1"/>
  <c r="G20" i="1"/>
  <c r="K20" i="1" s="1"/>
  <c r="L20" i="1" s="1"/>
  <c r="H20" i="1"/>
  <c r="K16" i="1" l="1"/>
  <c r="L16" i="1" s="1"/>
  <c r="K14" i="1"/>
  <c r="L14" i="1" s="1"/>
  <c r="K18" i="1"/>
  <c r="L18" i="1" s="1"/>
  <c r="K7" i="1"/>
  <c r="L7" i="1" s="1"/>
  <c r="K12" i="1"/>
  <c r="L12" i="1" s="1"/>
  <c r="K13" i="1"/>
  <c r="L13" i="1" s="1"/>
  <c r="K10" i="1"/>
  <c r="L10" i="1" s="1"/>
  <c r="K17" i="1"/>
  <c r="L17" i="1" s="1"/>
  <c r="K7" i="5"/>
  <c r="L7" i="5" s="1"/>
  <c r="K10" i="5"/>
  <c r="L10" i="5" s="1"/>
  <c r="K11" i="5"/>
  <c r="L11" i="5" s="1"/>
</calcChain>
</file>

<file path=xl/sharedStrings.xml><?xml version="1.0" encoding="utf-8"?>
<sst xmlns="http://schemas.openxmlformats.org/spreadsheetml/2006/main" count="241" uniqueCount="103">
  <si>
    <t>Intérimaire:</t>
  </si>
  <si>
    <t>Entité:</t>
  </si>
  <si>
    <t>Agence</t>
  </si>
  <si>
    <t>Agence:</t>
  </si>
  <si>
    <t>Motif:</t>
  </si>
  <si>
    <t>Page Personnel</t>
  </si>
  <si>
    <t>Date du contrat:</t>
  </si>
  <si>
    <t xml:space="preserve">Numéro de contrat: </t>
  </si>
  <si>
    <t>Mois</t>
  </si>
  <si>
    <t>N° Sem</t>
  </si>
  <si>
    <t>Délégation / Gestion</t>
  </si>
  <si>
    <t>Nb heures</t>
  </si>
  <si>
    <t>Taux de facturation</t>
  </si>
  <si>
    <t>Heures normales</t>
  </si>
  <si>
    <t>Droit RTT</t>
  </si>
  <si>
    <t>Facture reçue</t>
  </si>
  <si>
    <t>n° facture</t>
  </si>
  <si>
    <t>Date paiement facture</t>
  </si>
  <si>
    <t>Semaine début:</t>
  </si>
  <si>
    <t>Taux horaire:</t>
  </si>
  <si>
    <t>Nb jours fériés</t>
  </si>
  <si>
    <t>Jours férié</t>
  </si>
  <si>
    <t>Qualif</t>
  </si>
  <si>
    <t>Délégation</t>
  </si>
  <si>
    <t>Gestion</t>
  </si>
  <si>
    <t>Personnel peu qualifié</t>
  </si>
  <si>
    <t>Standardiste, aide comptable</t>
  </si>
  <si>
    <t>Personnel qualifié</t>
  </si>
  <si>
    <t>Standardiste bilingue, comptable</t>
  </si>
  <si>
    <t>Cadre</t>
  </si>
  <si>
    <t>Jamais</t>
  </si>
  <si>
    <t>A partir de la 351eme heure pour les non cadres / 451ème heure pour les cadres</t>
  </si>
  <si>
    <t>Supplay</t>
  </si>
  <si>
    <t>Entité</t>
  </si>
  <si>
    <t>Service</t>
  </si>
  <si>
    <t>RH</t>
  </si>
  <si>
    <t>Service client</t>
  </si>
  <si>
    <t>Commerce</t>
  </si>
  <si>
    <t>Informatique</t>
  </si>
  <si>
    <t>Logistique</t>
  </si>
  <si>
    <t>Finance</t>
  </si>
  <si>
    <t>Comptabilité</t>
  </si>
  <si>
    <t>Service:</t>
  </si>
  <si>
    <t>Qualification:</t>
  </si>
  <si>
    <t>Montant du réalisé (€)</t>
  </si>
  <si>
    <t>Montant facturé (€)</t>
  </si>
  <si>
    <t>Accroissement</t>
  </si>
  <si>
    <t>Intitulé</t>
  </si>
  <si>
    <t>En attente de facturation (€)</t>
  </si>
  <si>
    <t>A partir de quelle semaine minoration gestion</t>
  </si>
  <si>
    <t>Date:</t>
  </si>
  <si>
    <t>OK</t>
  </si>
  <si>
    <t>Correspondance semaine</t>
  </si>
  <si>
    <t>lundi de paques</t>
  </si>
  <si>
    <t>Jour de l'an</t>
  </si>
  <si>
    <t>Fête du travail</t>
  </si>
  <si>
    <t>Assomption</t>
  </si>
  <si>
    <t>Fête nationale</t>
  </si>
  <si>
    <t>Armistice</t>
  </si>
  <si>
    <t>Lundi de pentecote</t>
  </si>
  <si>
    <t>Ascension</t>
  </si>
  <si>
    <t>Toussaint</t>
  </si>
  <si>
    <t>Noël</t>
  </si>
  <si>
    <t xml:space="preserve">Communication </t>
  </si>
  <si>
    <t>x</t>
  </si>
  <si>
    <t>x France</t>
  </si>
  <si>
    <t>x HQ</t>
  </si>
  <si>
    <t>x GPB</t>
  </si>
  <si>
    <t>PP</t>
  </si>
  <si>
    <t>D</t>
  </si>
  <si>
    <t>A</t>
  </si>
  <si>
    <t>LI</t>
  </si>
  <si>
    <t>S</t>
  </si>
  <si>
    <t>M</t>
  </si>
  <si>
    <t>pp</t>
  </si>
  <si>
    <t>Effectif fin de mois</t>
  </si>
  <si>
    <t xml:space="preserve"> </t>
  </si>
  <si>
    <t>Equivalent temps plein</t>
  </si>
  <si>
    <t>Code section</t>
  </si>
  <si>
    <t>Motif</t>
  </si>
  <si>
    <t>Date début</t>
  </si>
  <si>
    <t>Date fin</t>
  </si>
  <si>
    <t>Heures ETP</t>
  </si>
  <si>
    <t>Taux facturation</t>
  </si>
  <si>
    <t>Montant de facture HT du mois en cours</t>
  </si>
  <si>
    <t>Remplacement</t>
  </si>
  <si>
    <t>Walters People</t>
  </si>
  <si>
    <t>Service Marketing</t>
  </si>
  <si>
    <t>Commercial</t>
  </si>
  <si>
    <t>Communication</t>
  </si>
  <si>
    <t>TOTAL GENERAL</t>
  </si>
  <si>
    <t>TOTAL</t>
  </si>
  <si>
    <t>TOTAL montant factures restantes / Agences</t>
  </si>
  <si>
    <t>Montant total factures en attentes TTC</t>
  </si>
  <si>
    <t>X GPB</t>
  </si>
  <si>
    <t>personne 1</t>
  </si>
  <si>
    <t>Personne 2</t>
  </si>
  <si>
    <t>Total x France</t>
  </si>
  <si>
    <t>Total x GPB</t>
  </si>
  <si>
    <t>Personne 3</t>
  </si>
  <si>
    <t>Personne 4</t>
  </si>
  <si>
    <t>Total x HQ</t>
  </si>
  <si>
    <t>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</si>
</sst>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/>
    <xf numFmtId="4" fontId="0" fillId="5" borderId="1" xfId="0" applyNumberFormat="1" applyFill="1" applyBorder="1"/>
    <xf numFmtId="0" fontId="0" fillId="6" borderId="1" xfId="0" applyFill="1" applyBorder="1"/>
    <xf numFmtId="4" fontId="0" fillId="6" borderId="1" xfId="0" applyNumberFormat="1" applyFill="1" applyBorder="1"/>
    <xf numFmtId="0" fontId="0" fillId="7" borderId="1" xfId="0" applyFill="1" applyBorder="1"/>
    <xf numFmtId="4" fontId="0" fillId="7" borderId="1" xfId="0" applyNumberFormat="1" applyFill="1" applyBorder="1"/>
    <xf numFmtId="0" fontId="0" fillId="8" borderId="1" xfId="0" applyFill="1" applyBorder="1"/>
    <xf numFmtId="4" fontId="0" fillId="8" borderId="1" xfId="0" applyNumberFormat="1" applyFill="1" applyBorder="1"/>
    <xf numFmtId="0" fontId="0" fillId="4" borderId="1" xfId="0" applyFill="1" applyBorder="1"/>
    <xf numFmtId="4" fontId="0" fillId="4" borderId="1" xfId="0" applyNumberFormat="1" applyFill="1" applyBorder="1"/>
    <xf numFmtId="0" fontId="0" fillId="9" borderId="1" xfId="0" applyFill="1" applyBorder="1"/>
    <xf numFmtId="4" fontId="0" fillId="9" borderId="1" xfId="0" applyNumberFormat="1" applyFill="1" applyBorder="1"/>
    <xf numFmtId="0" fontId="1" fillId="0" borderId="0" xfId="0" applyFont="1"/>
    <xf numFmtId="0" fontId="1" fillId="0" borderId="0" xfId="0" applyFont="1" applyFill="1"/>
    <xf numFmtId="0" fontId="0" fillId="0" borderId="0" xfId="0" applyFill="1" applyBorder="1"/>
    <xf numFmtId="0" fontId="0" fillId="2" borderId="0" xfId="0" applyFill="1"/>
    <xf numFmtId="14" fontId="0" fillId="2" borderId="0" xfId="0" applyNumberFormat="1" applyFill="1"/>
    <xf numFmtId="0" fontId="3" fillId="2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0" xfId="0" applyFont="1" applyFill="1"/>
    <xf numFmtId="4" fontId="0" fillId="4" borderId="2" xfId="0" applyNumberFormat="1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0" fillId="4" borderId="6" xfId="0" applyNumberForma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2" fillId="0" borderId="5" xfId="0" applyNumberFormat="1" applyFont="1" applyFill="1" applyBorder="1" applyAlignment="1">
      <alignment horizontal="center"/>
    </xf>
    <xf numFmtId="0" fontId="1" fillId="0" borderId="0" xfId="0" applyFont="1" applyFill="1" applyBorder="1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5" borderId="2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4" fontId="0" fillId="6" borderId="2" xfId="0" applyNumberFormat="1" applyFill="1" applyBorder="1" applyAlignment="1">
      <alignment horizontal="left" vertical="center"/>
    </xf>
    <xf numFmtId="4" fontId="0" fillId="6" borderId="5" xfId="0" applyNumberFormat="1" applyFill="1" applyBorder="1" applyAlignment="1">
      <alignment horizontal="left" vertical="center"/>
    </xf>
    <xf numFmtId="4" fontId="0" fillId="6" borderId="6" xfId="0" applyNumberFormat="1" applyFill="1" applyBorder="1" applyAlignment="1">
      <alignment horizontal="left" vertical="center"/>
    </xf>
    <xf numFmtId="4" fontId="0" fillId="7" borderId="2" xfId="0" applyNumberFormat="1" applyFill="1" applyBorder="1" applyAlignment="1">
      <alignment horizontal="left" vertical="center"/>
    </xf>
    <xf numFmtId="4" fontId="0" fillId="7" borderId="5" xfId="0" applyNumberFormat="1" applyFill="1" applyBorder="1" applyAlignment="1">
      <alignment horizontal="left" vertical="center"/>
    </xf>
    <xf numFmtId="4" fontId="0" fillId="7" borderId="6" xfId="0" applyNumberFormat="1" applyFill="1" applyBorder="1" applyAlignment="1">
      <alignment horizontal="left" vertical="center"/>
    </xf>
    <xf numFmtId="4" fontId="0" fillId="8" borderId="2" xfId="0" applyNumberFormat="1" applyFill="1" applyBorder="1" applyAlignment="1">
      <alignment horizontal="left" vertical="center"/>
    </xf>
    <xf numFmtId="4" fontId="0" fillId="8" borderId="5" xfId="0" applyNumberFormat="1" applyFill="1" applyBorder="1" applyAlignment="1">
      <alignment horizontal="left" vertical="center"/>
    </xf>
    <xf numFmtId="4" fontId="0" fillId="8" borderId="6" xfId="0" applyNumberFormat="1" applyFill="1" applyBorder="1" applyAlignment="1">
      <alignment horizontal="left" vertical="center"/>
    </xf>
    <xf numFmtId="4" fontId="0" fillId="9" borderId="2" xfId="0" applyNumberFormat="1" applyFill="1" applyBorder="1" applyAlignment="1">
      <alignment horizontal="left" vertical="center"/>
    </xf>
    <xf numFmtId="4" fontId="0" fillId="9" borderId="5" xfId="0" applyNumberFormat="1" applyFill="1" applyBorder="1" applyAlignment="1">
      <alignment horizontal="left" vertical="center"/>
    </xf>
    <xf numFmtId="4" fontId="0" fillId="9" borderId="6" xfId="0" applyNumberFormat="1" applyFill="1" applyBorder="1" applyAlignment="1">
      <alignment horizontal="left" vertical="center"/>
    </xf>
    <xf numFmtId="4" fontId="0" fillId="0" borderId="1" xfId="0" applyNumberFormat="1" applyBorder="1"/>
    <xf numFmtId="1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int&#233;rim%20V2.xls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4277A-CEE1-4E25-90D7-F873138D83D1}">
  <dimension ref="A1:O24"/>
  <sheetViews>
    <sheetView tabSelected="1" zoomScale="90" zoomScaleNormal="90" workbookViewId="0">
      <pane ySplit="6" topLeftCell="A7" activePane="bottomLeft" state="frozen"/>
      <selection pane="bottomLeft" activeCell="B4" sqref="B4"/>
    </sheetView>
  </sheetViews>
  <sheetFormatPr baseColWidth="10" defaultRowHeight="15" x14ac:dyDescent="0.25"/>
  <cols>
    <col min="1" max="1" width="12" bestFit="1" customWidth="1"/>
    <col min="2" max="2" width="17.7109375" bestFit="1" customWidth="1"/>
    <col min="4" max="4" width="22.42578125" bestFit="1" customWidth="1"/>
    <col min="5" max="5" width="11.5703125" bestFit="1" customWidth="1"/>
    <col min="7" max="7" width="10.42578125" bestFit="1" customWidth="1"/>
    <col min="8" max="8" width="22.5703125" customWidth="1"/>
    <col min="9" max="9" width="18" bestFit="1" customWidth="1"/>
    <col min="10" max="11" width="21.7109375" customWidth="1"/>
    <col min="12" max="12" width="16.42578125" bestFit="1" customWidth="1"/>
    <col min="14" max="14" width="18" customWidth="1"/>
  </cols>
  <sheetData>
    <row r="1" spans="1:15" x14ac:dyDescent="0.25">
      <c r="A1" t="s">
        <v>0</v>
      </c>
      <c r="B1" s="27" t="s">
        <v>64</v>
      </c>
      <c r="D1" t="s">
        <v>6</v>
      </c>
      <c r="E1" s="28">
        <v>43234</v>
      </c>
      <c r="F1" s="28">
        <v>43385</v>
      </c>
      <c r="G1" s="1" t="s">
        <v>4</v>
      </c>
      <c r="H1" s="27" t="s">
        <v>46</v>
      </c>
      <c r="I1" s="1" t="s">
        <v>7</v>
      </c>
      <c r="J1" s="27">
        <v>504805</v>
      </c>
      <c r="K1" s="1" t="s">
        <v>42</v>
      </c>
      <c r="L1" s="27" t="s">
        <v>37</v>
      </c>
    </row>
    <row r="2" spans="1:15" x14ac:dyDescent="0.25">
      <c r="A2" t="s">
        <v>1</v>
      </c>
      <c r="B2" s="27" t="s">
        <v>65</v>
      </c>
      <c r="D2" t="s">
        <v>18</v>
      </c>
      <c r="E2" s="27"/>
      <c r="K2" s="1" t="s">
        <v>43</v>
      </c>
      <c r="L2" s="27" t="s">
        <v>27</v>
      </c>
    </row>
    <row r="3" spans="1:15" x14ac:dyDescent="0.25">
      <c r="A3" t="s">
        <v>3</v>
      </c>
      <c r="B3" s="27" t="s">
        <v>68</v>
      </c>
    </row>
    <row r="4" spans="1:15" x14ac:dyDescent="0.25">
      <c r="A4" s="24" t="s">
        <v>19</v>
      </c>
      <c r="B4" s="38">
        <v>20.99</v>
      </c>
    </row>
    <row r="6" spans="1:15" ht="42" customHeight="1" x14ac:dyDescent="0.25">
      <c r="A6" s="29" t="s">
        <v>8</v>
      </c>
      <c r="B6" s="29" t="s">
        <v>9</v>
      </c>
      <c r="C6" s="29" t="s">
        <v>10</v>
      </c>
      <c r="D6" s="30" t="s">
        <v>11</v>
      </c>
      <c r="E6" s="30" t="s">
        <v>20</v>
      </c>
      <c r="F6" s="30" t="s">
        <v>12</v>
      </c>
      <c r="G6" s="31" t="s">
        <v>13</v>
      </c>
      <c r="H6" s="31" t="s">
        <v>21</v>
      </c>
      <c r="I6" s="32" t="s">
        <v>14</v>
      </c>
      <c r="J6" s="33" t="s">
        <v>45</v>
      </c>
      <c r="K6" s="30" t="s">
        <v>44</v>
      </c>
      <c r="L6" s="30" t="s">
        <v>48</v>
      </c>
      <c r="M6" s="33" t="s">
        <v>15</v>
      </c>
      <c r="N6" s="34" t="s">
        <v>16</v>
      </c>
      <c r="O6" s="35" t="s">
        <v>17</v>
      </c>
    </row>
    <row r="7" spans="1:15" x14ac:dyDescent="0.25">
      <c r="A7" s="2">
        <v>5</v>
      </c>
      <c r="B7" s="2">
        <v>20</v>
      </c>
      <c r="C7" s="36" t="s">
        <v>23</v>
      </c>
      <c r="D7" s="5">
        <v>34.200000000000003</v>
      </c>
      <c r="E7" s="36">
        <f>IF(ISNA(VLOOKUP(B7,Données!J11:K22,2,FALSE)),0,VLOOKUP(B7,Données!J11:K22,2,FALSE))</f>
        <v>0</v>
      </c>
      <c r="F7" s="36">
        <f>IF(C7="","",IF(C7="gestion",($B$4*(VLOOKUP($B$3&amp;"-"&amp;$L$2,Données!$A$1:$F$31,5,FALSE))),($B$4*(VLOOKUP($B$3&amp;"-"&amp;$L$2,Données!$A$1:$F$31,4,FALSE)))))</f>
        <v>45.128499999999995</v>
      </c>
      <c r="G7" s="36">
        <f>F7*D7</f>
        <v>1543.3947000000001</v>
      </c>
      <c r="H7" s="36">
        <f>E7*7*F7</f>
        <v>0</v>
      </c>
      <c r="I7" s="36"/>
      <c r="J7" s="36">
        <v>1543.3947000000001</v>
      </c>
      <c r="K7" s="36">
        <f>SUM(G7:H7)</f>
        <v>1543.3947000000001</v>
      </c>
      <c r="L7" s="36">
        <f>K7-J7</f>
        <v>0</v>
      </c>
      <c r="M7" s="36" t="s">
        <v>51</v>
      </c>
      <c r="N7" s="36"/>
      <c r="O7" s="36"/>
    </row>
    <row r="8" spans="1:15" x14ac:dyDescent="0.25">
      <c r="A8" s="2">
        <v>5</v>
      </c>
      <c r="B8" s="2">
        <v>21</v>
      </c>
      <c r="C8" s="36" t="s">
        <v>23</v>
      </c>
      <c r="D8" s="5">
        <v>27.36</v>
      </c>
      <c r="E8" s="36">
        <f>IF(ISNA(VLOOKUP(B8,Données!J12:K23,2,FALSE)),0,VLOOKUP(B8,Données!J12:K23,2,FALSE))</f>
        <v>1</v>
      </c>
      <c r="F8" s="36">
        <f>IF(C8="","",IF(C8="gestion",($B$4*(VLOOKUP($B$3&amp;"-"&amp;$L$2,Données!$A$1:$F$31,5,FALSE))),($B$4*(VLOOKUP($B$3&amp;"-"&amp;$L$2,Données!$A$1:$F$31,4,FALSE)))))</f>
        <v>45.128499999999995</v>
      </c>
      <c r="G8" s="36">
        <f t="shared" ref="G8:G21" si="0">F8*D8</f>
        <v>1234.7157599999998</v>
      </c>
      <c r="H8" s="36">
        <f t="shared" ref="H8:H21" si="1">E8*7*F8</f>
        <v>315.89949999999999</v>
      </c>
      <c r="I8" s="36"/>
      <c r="J8" s="36">
        <v>1234.7157599999998</v>
      </c>
      <c r="K8" s="36">
        <f t="shared" ref="K8:K21" si="2">SUM(G8:H8)</f>
        <v>1550.6152599999998</v>
      </c>
      <c r="L8" s="36">
        <f t="shared" ref="L8:L21" si="3">K8-J8</f>
        <v>315.89949999999999</v>
      </c>
      <c r="M8" s="36" t="s">
        <v>51</v>
      </c>
      <c r="N8" s="36"/>
      <c r="O8" s="36"/>
    </row>
    <row r="9" spans="1:15" x14ac:dyDescent="0.25">
      <c r="A9" s="2">
        <v>5</v>
      </c>
      <c r="B9" s="2">
        <v>22</v>
      </c>
      <c r="C9" s="36" t="s">
        <v>23</v>
      </c>
      <c r="D9" s="5">
        <v>27.36</v>
      </c>
      <c r="E9" s="36">
        <f>IF(ISNA(VLOOKUP(B9,Données!J13:K24,2,FALSE)),0,VLOOKUP(B9,Données!J13:K24,2,FALSE))</f>
        <v>0</v>
      </c>
      <c r="F9" s="36">
        <f>IF(C9="","",IF(C9="gestion",($B$4*(VLOOKUP($B$3&amp;"-"&amp;$L$2,Données!$A$1:$F$31,5,FALSE))),($B$4*(VLOOKUP($B$3&amp;"-"&amp;$L$2,Données!$A$1:$F$31,4,FALSE)))))</f>
        <v>45.128499999999995</v>
      </c>
      <c r="G9" s="36">
        <f t="shared" si="0"/>
        <v>1234.7157599999998</v>
      </c>
      <c r="H9" s="36">
        <f t="shared" si="1"/>
        <v>0</v>
      </c>
      <c r="I9" s="36"/>
      <c r="J9" s="36">
        <v>1234.7157599999998</v>
      </c>
      <c r="K9" s="36">
        <f t="shared" si="2"/>
        <v>1234.7157599999998</v>
      </c>
      <c r="L9" s="36">
        <f t="shared" si="3"/>
        <v>0</v>
      </c>
      <c r="M9" s="36" t="s">
        <v>51</v>
      </c>
      <c r="N9" s="36"/>
      <c r="O9" s="36"/>
    </row>
    <row r="10" spans="1:15" x14ac:dyDescent="0.25">
      <c r="A10" s="2">
        <v>6</v>
      </c>
      <c r="B10" s="2">
        <v>22</v>
      </c>
      <c r="C10" s="36" t="s">
        <v>23</v>
      </c>
      <c r="D10" s="5">
        <v>6.84</v>
      </c>
      <c r="E10" s="36">
        <f>IF(ISNA(VLOOKUP(B10,Données!J14:K25,2,FALSE)),0,VLOOKUP(B10,Données!J14:K25,2,FALSE))</f>
        <v>0</v>
      </c>
      <c r="F10" s="36">
        <f>IF(C10="","",IF(C10="gestion",($B$4*(VLOOKUP($B$3&amp;"-"&amp;$L$2,Données!$A$1:$F$31,5,FALSE))),($B$4*(VLOOKUP($B$3&amp;"-"&amp;$L$2,Données!$A$1:$F$31,4,FALSE)))))</f>
        <v>45.128499999999995</v>
      </c>
      <c r="G10" s="36">
        <f t="shared" si="0"/>
        <v>308.67893999999995</v>
      </c>
      <c r="H10" s="36">
        <f t="shared" si="1"/>
        <v>0</v>
      </c>
      <c r="I10" s="36"/>
      <c r="J10" s="36">
        <v>308.67893999999995</v>
      </c>
      <c r="K10" s="36">
        <f t="shared" si="2"/>
        <v>308.67893999999995</v>
      </c>
      <c r="L10" s="36">
        <f t="shared" si="3"/>
        <v>0</v>
      </c>
      <c r="M10" s="36" t="s">
        <v>51</v>
      </c>
      <c r="N10" s="36"/>
      <c r="O10" s="36"/>
    </row>
    <row r="11" spans="1:15" x14ac:dyDescent="0.25">
      <c r="A11" s="2">
        <v>6</v>
      </c>
      <c r="B11" s="2">
        <v>23</v>
      </c>
      <c r="C11" s="36" t="s">
        <v>23</v>
      </c>
      <c r="D11" s="5">
        <v>34.200000000000003</v>
      </c>
      <c r="E11" s="36">
        <f>IF(ISNA(VLOOKUP(B11,Données!J15:K26,2,FALSE)),0,VLOOKUP(B11,Données!J15:K26,2,FALSE))</f>
        <v>0</v>
      </c>
      <c r="F11" s="36">
        <f>IF(C11="","",IF(C11="gestion",($B$4*(VLOOKUP($B$3&amp;"-"&amp;$L$2,Données!$A$1:$F$31,5,FALSE))),($B$4*(VLOOKUP($B$3&amp;"-"&amp;$L$2,Données!$A$1:$F$31,4,FALSE)))))</f>
        <v>45.128499999999995</v>
      </c>
      <c r="G11" s="36">
        <f t="shared" si="0"/>
        <v>1543.3947000000001</v>
      </c>
      <c r="H11" s="36">
        <f t="shared" si="1"/>
        <v>0</v>
      </c>
      <c r="I11" s="36"/>
      <c r="J11" s="36">
        <v>1543.3947000000001</v>
      </c>
      <c r="K11" s="36">
        <f t="shared" si="2"/>
        <v>1543.3947000000001</v>
      </c>
      <c r="L11" s="36">
        <f t="shared" si="3"/>
        <v>0</v>
      </c>
      <c r="M11" s="36" t="s">
        <v>51</v>
      </c>
      <c r="N11" s="36"/>
      <c r="O11" s="36"/>
    </row>
    <row r="12" spans="1:15" x14ac:dyDescent="0.25">
      <c r="A12" s="2">
        <v>6</v>
      </c>
      <c r="B12" s="3">
        <v>24</v>
      </c>
      <c r="C12" s="36" t="s">
        <v>23</v>
      </c>
      <c r="D12" s="6">
        <v>34.200000000000003</v>
      </c>
      <c r="E12" s="36">
        <f>IF(ISNA(VLOOKUP(B12,Données!J16:K27,2,FALSE)),0,VLOOKUP(B12,Données!J16:K27,2,FALSE))</f>
        <v>0</v>
      </c>
      <c r="F12" s="36">
        <f>IF(C12="","",IF(C12="gestion",($B$4*(VLOOKUP($B$3&amp;"-"&amp;$L$2,Données!$A$1:$F$31,5,FALSE))),($B$4*(VLOOKUP($B$3&amp;"-"&amp;$L$2,Données!$A$1:$F$31,4,FALSE)))))</f>
        <v>45.128499999999995</v>
      </c>
      <c r="G12" s="36">
        <f t="shared" si="0"/>
        <v>1543.3947000000001</v>
      </c>
      <c r="H12" s="36">
        <f t="shared" si="1"/>
        <v>0</v>
      </c>
      <c r="I12" s="36"/>
      <c r="J12" s="36">
        <v>1543.3947000000001</v>
      </c>
      <c r="K12" s="36">
        <f t="shared" si="2"/>
        <v>1543.3947000000001</v>
      </c>
      <c r="L12" s="36">
        <f t="shared" si="3"/>
        <v>0</v>
      </c>
      <c r="M12" s="36" t="s">
        <v>51</v>
      </c>
      <c r="N12" s="36"/>
      <c r="O12" s="36"/>
    </row>
    <row r="13" spans="1:15" x14ac:dyDescent="0.25">
      <c r="A13" s="2">
        <v>6</v>
      </c>
      <c r="B13" s="2">
        <v>25</v>
      </c>
      <c r="C13" s="36" t="s">
        <v>24</v>
      </c>
      <c r="D13" s="7">
        <v>34.200000000000003</v>
      </c>
      <c r="E13" s="36">
        <f>IF(ISNA(VLOOKUP(B13,Données!J17:K28,2,FALSE)),0,VLOOKUP(B13,Données!J17:K28,2,FALSE))</f>
        <v>0</v>
      </c>
      <c r="F13" s="36">
        <f>IF(C13="","",IF(C13="gestion",($B$4*(VLOOKUP($B$3&amp;"-"&amp;$L$2,Données!$A$1:$F$31,5,FALSE))),($B$4*(VLOOKUP($B$3&amp;"-"&amp;$L$2,Données!$A$1:$F$31,4,FALSE)))))</f>
        <v>41.98</v>
      </c>
      <c r="G13" s="36">
        <f t="shared" si="0"/>
        <v>1435.7160000000001</v>
      </c>
      <c r="H13" s="36">
        <f t="shared" si="1"/>
        <v>0</v>
      </c>
      <c r="I13" s="36"/>
      <c r="J13" s="36"/>
      <c r="K13" s="36">
        <f t="shared" si="2"/>
        <v>1435.7160000000001</v>
      </c>
      <c r="L13" s="36">
        <f t="shared" si="3"/>
        <v>1435.7160000000001</v>
      </c>
      <c r="M13" s="36"/>
      <c r="N13" s="36"/>
      <c r="O13" s="36"/>
    </row>
    <row r="14" spans="1:15" x14ac:dyDescent="0.25">
      <c r="A14" s="2">
        <v>6</v>
      </c>
      <c r="B14" s="4">
        <v>26</v>
      </c>
      <c r="C14" s="36" t="s">
        <v>24</v>
      </c>
      <c r="D14" s="7">
        <v>34.200000000000003</v>
      </c>
      <c r="E14" s="36">
        <f>IF(ISNA(VLOOKUP(B14,Données!J18:K29,2,FALSE)),0,VLOOKUP(B14,Données!J18:K29,2,FALSE))</f>
        <v>0</v>
      </c>
      <c r="F14" s="36">
        <f>IF(C14="","",IF(C14="gestion",($B$4*(VLOOKUP($B$3&amp;"-"&amp;$L$2,Données!$A$1:$F$31,5,FALSE))),($B$4*(VLOOKUP($B$3&amp;"-"&amp;$L$2,Données!$A$1:$F$31,4,FALSE)))))</f>
        <v>41.98</v>
      </c>
      <c r="G14" s="36">
        <f t="shared" si="0"/>
        <v>1435.7160000000001</v>
      </c>
      <c r="H14" s="36">
        <f t="shared" si="1"/>
        <v>0</v>
      </c>
      <c r="I14" s="36"/>
      <c r="J14" s="36"/>
      <c r="K14" s="36">
        <f t="shared" si="2"/>
        <v>1435.7160000000001</v>
      </c>
      <c r="L14" s="36">
        <f t="shared" si="3"/>
        <v>1435.7160000000001</v>
      </c>
      <c r="M14" s="36"/>
      <c r="N14" s="36"/>
      <c r="O14" s="36"/>
    </row>
    <row r="15" spans="1:15" x14ac:dyDescent="0.25">
      <c r="A15" s="2">
        <v>7</v>
      </c>
      <c r="B15" s="4">
        <v>27</v>
      </c>
      <c r="C15" s="36" t="s">
        <v>24</v>
      </c>
      <c r="D15" s="7">
        <v>34.200000000000003</v>
      </c>
      <c r="E15" s="36">
        <f>IF(ISNA(VLOOKUP(B15,Données!J19:K30,2,FALSE)),0,VLOOKUP(B15,Données!J19:K30,2,FALSE))</f>
        <v>0</v>
      </c>
      <c r="F15" s="36">
        <f>IF(C15="","",IF(C15="gestion",($B$4*(VLOOKUP($B$3&amp;"-"&amp;$L$2,Données!$A$1:$F$31,5,FALSE))),($B$4*(VLOOKUP($B$3&amp;"-"&amp;$L$2,Données!$A$1:$F$31,4,FALSE)))))</f>
        <v>41.98</v>
      </c>
      <c r="G15" s="36">
        <f t="shared" si="0"/>
        <v>1435.7160000000001</v>
      </c>
      <c r="H15" s="36">
        <f t="shared" si="1"/>
        <v>0</v>
      </c>
      <c r="I15" s="36"/>
      <c r="J15" s="36"/>
      <c r="K15" s="36">
        <f t="shared" si="2"/>
        <v>1435.7160000000001</v>
      </c>
      <c r="L15" s="36">
        <f t="shared" si="3"/>
        <v>1435.7160000000001</v>
      </c>
      <c r="M15" s="36"/>
      <c r="N15" s="36"/>
      <c r="O15" s="36"/>
    </row>
    <row r="16" spans="1:15" x14ac:dyDescent="0.25">
      <c r="A16" s="2">
        <v>7</v>
      </c>
      <c r="B16" s="4">
        <v>28</v>
      </c>
      <c r="C16" s="36" t="s">
        <v>24</v>
      </c>
      <c r="D16" s="7">
        <v>34.200000000000003</v>
      </c>
      <c r="E16" s="36">
        <f>IF(ISNA(VLOOKUP(B16,Données!J20:K31,2,FALSE)),0,VLOOKUP(B16,Données!J20:K31,2,FALSE))</f>
        <v>0</v>
      </c>
      <c r="F16" s="36">
        <f>IF(C16="","",IF(C16="gestion",($B$4*(VLOOKUP($B$3&amp;"-"&amp;$L$2,Données!$A$1:$F$31,5,FALSE))),($B$4*(VLOOKUP($B$3&amp;"-"&amp;$L$2,Données!$A$1:$F$31,4,FALSE)))))</f>
        <v>41.98</v>
      </c>
      <c r="G16" s="36">
        <f t="shared" si="0"/>
        <v>1435.7160000000001</v>
      </c>
      <c r="H16" s="36">
        <f t="shared" si="1"/>
        <v>0</v>
      </c>
      <c r="I16" s="36"/>
      <c r="J16" s="36"/>
      <c r="K16" s="36">
        <f t="shared" si="2"/>
        <v>1435.7160000000001</v>
      </c>
      <c r="L16" s="36">
        <f t="shared" si="3"/>
        <v>1435.7160000000001</v>
      </c>
      <c r="M16" s="36"/>
      <c r="N16" s="36"/>
      <c r="O16" s="36"/>
    </row>
    <row r="17" spans="1:15" x14ac:dyDescent="0.25">
      <c r="A17" s="2">
        <v>7</v>
      </c>
      <c r="B17" s="4">
        <v>29</v>
      </c>
      <c r="C17" s="36" t="s">
        <v>24</v>
      </c>
      <c r="D17" s="42">
        <v>34.200000000000003</v>
      </c>
      <c r="E17" s="36">
        <f>IF(ISNA(VLOOKUP(B17,Données!J21:K32,2,FALSE)),0,VLOOKUP(B17,Données!J21:K32,2,FALSE))</f>
        <v>0</v>
      </c>
      <c r="F17" s="36">
        <f>IF(C17="","",IF(C17="gestion",($B$4*(VLOOKUP($B$3&amp;"-"&amp;$L$2,Données!$A$1:$F$31,5,FALSE))),($B$4*(VLOOKUP($B$3&amp;"-"&amp;$L$2,Données!$A$1:$F$31,4,FALSE)))))</f>
        <v>41.98</v>
      </c>
      <c r="G17" s="36">
        <f t="shared" si="0"/>
        <v>1435.7160000000001</v>
      </c>
      <c r="H17" s="36">
        <f t="shared" si="1"/>
        <v>0</v>
      </c>
      <c r="I17" s="36"/>
      <c r="J17" s="36"/>
      <c r="K17" s="36">
        <f t="shared" si="2"/>
        <v>1435.7160000000001</v>
      </c>
      <c r="L17" s="36">
        <f t="shared" si="3"/>
        <v>1435.7160000000001</v>
      </c>
      <c r="M17" s="36"/>
      <c r="N17" s="36"/>
      <c r="O17" s="36"/>
    </row>
    <row r="18" spans="1:15" x14ac:dyDescent="0.25">
      <c r="A18" s="2">
        <v>7</v>
      </c>
      <c r="B18" s="4">
        <v>30</v>
      </c>
      <c r="C18" s="36" t="s">
        <v>24</v>
      </c>
      <c r="D18" s="42">
        <v>34.200000000000003</v>
      </c>
      <c r="E18" s="36">
        <f>IF(ISNA(VLOOKUP(B18,Données!J22:K33,2,FALSE)),0,VLOOKUP(B18,Données!J22:K33,2,FALSE))</f>
        <v>0</v>
      </c>
      <c r="F18" s="36">
        <f>IF(C18="","",IF(C18="gestion",($B$4*(VLOOKUP($B$3&amp;"-"&amp;$L$2,Données!$A$1:$F$31,5,FALSE))),($B$4*(VLOOKUP($B$3&amp;"-"&amp;$L$2,Données!$A$1:$F$31,4,FALSE)))))</f>
        <v>41.98</v>
      </c>
      <c r="G18" s="36">
        <f t="shared" si="0"/>
        <v>1435.7160000000001</v>
      </c>
      <c r="H18" s="36">
        <f t="shared" si="1"/>
        <v>0</v>
      </c>
      <c r="I18" s="36"/>
      <c r="J18" s="36"/>
      <c r="K18" s="36">
        <f t="shared" si="2"/>
        <v>1435.7160000000001</v>
      </c>
      <c r="L18" s="36">
        <f t="shared" si="3"/>
        <v>1435.7160000000001</v>
      </c>
      <c r="M18" s="36"/>
      <c r="N18" s="36"/>
      <c r="O18" s="36"/>
    </row>
    <row r="19" spans="1:15" x14ac:dyDescent="0.25">
      <c r="A19" s="2">
        <v>7</v>
      </c>
      <c r="B19" s="4">
        <v>31</v>
      </c>
      <c r="C19" s="36" t="s">
        <v>24</v>
      </c>
      <c r="D19" s="42">
        <f>6.84*2</f>
        <v>13.68</v>
      </c>
      <c r="E19" s="36">
        <f>IF(ISNA(VLOOKUP(B19,Données!J23:K34,2,FALSE)),0,VLOOKUP(B19,Données!J23:K34,2,FALSE))</f>
        <v>0</v>
      </c>
      <c r="F19" s="36">
        <f>IF(C19="","",IF(C19="gestion",($B$4*(VLOOKUP($B$3&amp;"-"&amp;$L$2,Données!$A$1:$F$31,5,FALSE))),($B$4*(VLOOKUP($B$3&amp;"-"&amp;$L$2,Données!$A$1:$F$31,4,FALSE)))))</f>
        <v>41.98</v>
      </c>
      <c r="G19" s="36">
        <f t="shared" si="0"/>
        <v>574.28639999999996</v>
      </c>
      <c r="H19" s="36">
        <f t="shared" si="1"/>
        <v>0</v>
      </c>
      <c r="I19" s="36"/>
      <c r="J19" s="36"/>
      <c r="K19" s="36">
        <f t="shared" si="2"/>
        <v>574.28639999999996</v>
      </c>
      <c r="L19" s="36">
        <f t="shared" si="3"/>
        <v>574.28639999999996</v>
      </c>
      <c r="M19" s="36"/>
      <c r="N19" s="36"/>
      <c r="O19" s="36"/>
    </row>
    <row r="20" spans="1:15" x14ac:dyDescent="0.25">
      <c r="A20" s="2">
        <v>8</v>
      </c>
      <c r="B20" s="4">
        <v>31</v>
      </c>
      <c r="C20" s="36" t="s">
        <v>24</v>
      </c>
      <c r="D20" s="42">
        <f>6.84*3</f>
        <v>20.52</v>
      </c>
      <c r="E20" s="36">
        <f>IF(ISNA(VLOOKUP(B20,Données!J24:K35,2,FALSE)),0,VLOOKUP(B20,Données!J24:K35,2,FALSE))</f>
        <v>0</v>
      </c>
      <c r="F20" s="36">
        <f>IF(C20="","",IF(C20="gestion",($B$4*(VLOOKUP($B$3&amp;"-"&amp;$L$2,Données!$A$1:$F$31,5,FALSE))),($B$4*(VLOOKUP($B$3&amp;"-"&amp;$L$2,Données!$A$1:$F$31,4,FALSE)))))</f>
        <v>41.98</v>
      </c>
      <c r="G20" s="36">
        <f t="shared" ref="G20" si="4">F20*D20</f>
        <v>861.42959999999994</v>
      </c>
      <c r="H20" s="36">
        <f t="shared" si="1"/>
        <v>0</v>
      </c>
      <c r="I20" s="36"/>
      <c r="J20" s="36"/>
      <c r="K20" s="36">
        <f t="shared" ref="K20" si="5">SUM(G20:H20)</f>
        <v>861.42959999999994</v>
      </c>
      <c r="L20" s="36">
        <f t="shared" ref="L20" si="6">K20-J20</f>
        <v>861.42959999999994</v>
      </c>
      <c r="M20" s="36"/>
      <c r="N20" s="36"/>
      <c r="O20" s="36"/>
    </row>
    <row r="21" spans="1:15" x14ac:dyDescent="0.25">
      <c r="A21" s="2">
        <v>8</v>
      </c>
      <c r="B21" s="4">
        <v>31</v>
      </c>
      <c r="C21" s="36" t="s">
        <v>24</v>
      </c>
      <c r="D21" s="42">
        <f>6.84*3</f>
        <v>20.52</v>
      </c>
      <c r="E21" s="36">
        <f>IF(ISNA(VLOOKUP(B21,Données!J25:K36,2,FALSE)),0,VLOOKUP(B21,Données!J25:K36,2,FALSE))</f>
        <v>0</v>
      </c>
      <c r="F21" s="36">
        <f>IF(C21="","",IF(C21="gestion",($B$4*(VLOOKUP($B$3&amp;"-"&amp;$L$2,Données!$A$1:$F$31,5,FALSE))),($B$4*(VLOOKUP($B$3&amp;"-"&amp;$L$2,Données!$A$1:$F$31,4,FALSE)))))</f>
        <v>41.98</v>
      </c>
      <c r="G21" s="36">
        <f t="shared" si="0"/>
        <v>861.42959999999994</v>
      </c>
      <c r="H21" s="36">
        <f t="shared" si="1"/>
        <v>0</v>
      </c>
      <c r="I21" s="36"/>
      <c r="J21" s="36"/>
      <c r="K21" s="36">
        <f t="shared" si="2"/>
        <v>861.42959999999994</v>
      </c>
      <c r="L21" s="36">
        <f t="shared" si="3"/>
        <v>861.42959999999994</v>
      </c>
      <c r="M21" s="36"/>
      <c r="N21" s="36"/>
      <c r="O21" s="36"/>
    </row>
    <row r="22" spans="1:15" x14ac:dyDescent="0.25">
      <c r="A22" s="2"/>
      <c r="B22" s="3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x14ac:dyDescent="0.25">
      <c r="A23" s="2"/>
      <c r="B23" s="3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1:15" x14ac:dyDescent="0.25">
      <c r="C24" s="44"/>
      <c r="D24" s="4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0CC04-DB78-427F-9E37-7A851C2338D8}">
  <dimension ref="A1:O24"/>
  <sheetViews>
    <sheetView zoomScale="90" zoomScaleNormal="90" workbookViewId="0">
      <pane ySplit="6" topLeftCell="A7" activePane="bottomLeft" state="frozen"/>
      <selection pane="bottomLeft" activeCell="B4" sqref="B4"/>
    </sheetView>
  </sheetViews>
  <sheetFormatPr baseColWidth="10" defaultRowHeight="15" x14ac:dyDescent="0.25"/>
  <cols>
    <col min="1" max="1" width="12" bestFit="1" customWidth="1"/>
    <col min="2" max="2" width="17.7109375" bestFit="1" customWidth="1"/>
    <col min="4" max="4" width="22.42578125" bestFit="1" customWidth="1"/>
    <col min="5" max="5" width="11.5703125" bestFit="1" customWidth="1"/>
    <col min="7" max="7" width="10.42578125" bestFit="1" customWidth="1"/>
    <col min="8" max="8" width="22.5703125" customWidth="1"/>
    <col min="9" max="9" width="18" bestFit="1" customWidth="1"/>
    <col min="10" max="11" width="21.7109375" customWidth="1"/>
    <col min="12" max="12" width="16.42578125" bestFit="1" customWidth="1"/>
    <col min="14" max="14" width="18" customWidth="1"/>
  </cols>
  <sheetData>
    <row r="1" spans="1:15" x14ac:dyDescent="0.25">
      <c r="A1" t="s">
        <v>0</v>
      </c>
      <c r="B1" s="27" t="s">
        <v>64</v>
      </c>
      <c r="D1" t="s">
        <v>6</v>
      </c>
      <c r="E1" s="28"/>
      <c r="F1" s="28"/>
      <c r="G1" s="1" t="s">
        <v>4</v>
      </c>
      <c r="H1" s="27" t="s">
        <v>46</v>
      </c>
      <c r="I1" s="1" t="s">
        <v>7</v>
      </c>
      <c r="J1" s="27"/>
      <c r="K1" s="1" t="s">
        <v>42</v>
      </c>
      <c r="L1" s="27" t="s">
        <v>63</v>
      </c>
    </row>
    <row r="2" spans="1:15" x14ac:dyDescent="0.25">
      <c r="A2" t="s">
        <v>1</v>
      </c>
      <c r="B2" s="27" t="s">
        <v>66</v>
      </c>
      <c r="D2" t="s">
        <v>18</v>
      </c>
      <c r="E2" s="27"/>
      <c r="K2" s="1" t="s">
        <v>43</v>
      </c>
      <c r="L2" s="27" t="s">
        <v>27</v>
      </c>
    </row>
    <row r="3" spans="1:15" x14ac:dyDescent="0.25">
      <c r="A3" t="s">
        <v>3</v>
      </c>
      <c r="B3" s="27" t="s">
        <v>74</v>
      </c>
    </row>
    <row r="4" spans="1:15" x14ac:dyDescent="0.25">
      <c r="A4" s="24" t="s">
        <v>19</v>
      </c>
      <c r="B4" s="38">
        <v>12.1</v>
      </c>
    </row>
    <row r="6" spans="1:15" ht="42" customHeight="1" x14ac:dyDescent="0.25">
      <c r="A6" s="29" t="s">
        <v>8</v>
      </c>
      <c r="B6" s="29" t="s">
        <v>9</v>
      </c>
      <c r="C6" s="29" t="s">
        <v>10</v>
      </c>
      <c r="D6" s="30" t="s">
        <v>11</v>
      </c>
      <c r="E6" s="30" t="s">
        <v>20</v>
      </c>
      <c r="F6" s="30" t="s">
        <v>12</v>
      </c>
      <c r="G6" s="31" t="s">
        <v>13</v>
      </c>
      <c r="H6" s="31" t="s">
        <v>21</v>
      </c>
      <c r="I6" s="32" t="s">
        <v>14</v>
      </c>
      <c r="J6" s="33" t="s">
        <v>45</v>
      </c>
      <c r="K6" s="30" t="s">
        <v>44</v>
      </c>
      <c r="L6" s="30" t="s">
        <v>48</v>
      </c>
      <c r="M6" s="33" t="s">
        <v>15</v>
      </c>
      <c r="N6" s="34" t="s">
        <v>16</v>
      </c>
      <c r="O6" s="35" t="s">
        <v>17</v>
      </c>
    </row>
    <row r="7" spans="1:15" x14ac:dyDescent="0.25">
      <c r="A7" s="2">
        <v>5</v>
      </c>
      <c r="B7" s="2">
        <v>21</v>
      </c>
      <c r="C7" s="36" t="s">
        <v>23</v>
      </c>
      <c r="D7" s="5">
        <v>30.4</v>
      </c>
      <c r="E7" s="36">
        <f>IF(ISNA(VLOOKUP(B7,Données!J11:K22,2,FALSE)),0,VLOOKUP(B7,Données!J11:K22,2,FALSE))</f>
        <v>1</v>
      </c>
      <c r="F7" s="36">
        <f>IF(C7="","",IF(C7="gestion",($B$4*(VLOOKUP($B$3&amp;"-"&amp;$L$2,Données!$A$1:$F$31,5,FALSE))),($B$4*(VLOOKUP($B$3&amp;"-"&amp;$L$2,Données!$A$1:$F$31,4,FALSE)))))</f>
        <v>26.014999999999997</v>
      </c>
      <c r="G7" s="36">
        <f>F7*D7</f>
        <v>790.85599999999988</v>
      </c>
      <c r="H7" s="36">
        <f>E7*7*F7</f>
        <v>182.10499999999999</v>
      </c>
      <c r="I7" s="36"/>
      <c r="J7" s="36"/>
      <c r="K7" s="36">
        <f>SUM(G7:H7)</f>
        <v>972.9609999999999</v>
      </c>
      <c r="L7" s="36">
        <f>K7-J7</f>
        <v>972.9609999999999</v>
      </c>
      <c r="M7" s="36" t="s">
        <v>51</v>
      </c>
      <c r="N7" s="36"/>
      <c r="O7" s="36"/>
    </row>
    <row r="8" spans="1:15" x14ac:dyDescent="0.25">
      <c r="A8" s="3">
        <v>5</v>
      </c>
      <c r="B8" s="2">
        <v>22</v>
      </c>
      <c r="C8" s="36" t="s">
        <v>23</v>
      </c>
      <c r="D8" s="5">
        <v>30.4</v>
      </c>
      <c r="E8" s="36">
        <f>IF(ISNA(VLOOKUP(B8,Données!J12:K23,2,FALSE)),0,VLOOKUP(B8,Données!J12:K23,2,FALSE))</f>
        <v>0</v>
      </c>
      <c r="F8" s="36">
        <f>IF(C8="","",IF(C8="gestion",($B$4*(VLOOKUP($B$3&amp;"-"&amp;$L$2,Données!$A$1:$F$31,5,FALSE))),($B$4*(VLOOKUP($B$3&amp;"-"&amp;$L$2,Données!$A$1:$F$31,4,FALSE)))))</f>
        <v>26.014999999999997</v>
      </c>
      <c r="G8" s="36">
        <f t="shared" ref="G8:G11" si="0">F8*D8</f>
        <v>790.85599999999988</v>
      </c>
      <c r="H8" s="36">
        <f t="shared" ref="H8:H11" si="1">E8*7*F8</f>
        <v>0</v>
      </c>
      <c r="I8" s="36"/>
      <c r="J8" s="36"/>
      <c r="K8" s="36">
        <f t="shared" ref="K8:K11" si="2">SUM(G8:H8)</f>
        <v>790.85599999999988</v>
      </c>
      <c r="L8" s="36">
        <f t="shared" ref="L8:L11" si="3">K8-J8</f>
        <v>790.85599999999988</v>
      </c>
      <c r="M8" s="36" t="s">
        <v>51</v>
      </c>
      <c r="N8" s="36"/>
      <c r="O8" s="36"/>
    </row>
    <row r="9" spans="1:15" x14ac:dyDescent="0.25">
      <c r="A9" s="2">
        <v>6</v>
      </c>
      <c r="B9" s="2">
        <v>22</v>
      </c>
      <c r="C9" s="36" t="s">
        <v>23</v>
      </c>
      <c r="D9" s="5">
        <v>7.6</v>
      </c>
      <c r="E9" s="36">
        <f>IF(ISNA(VLOOKUP(B9,Données!J13:K24,2,FALSE)),0,VLOOKUP(B9,Données!J13:K24,2,FALSE))</f>
        <v>0</v>
      </c>
      <c r="F9" s="36">
        <f>IF(C9="","",IF(C9="gestion",($B$4*(VLOOKUP($B$3&amp;"-"&amp;$L$2,Données!$A$1:$F$31,5,FALSE))),($B$4*(VLOOKUP($B$3&amp;"-"&amp;$L$2,Données!$A$1:$F$31,4,FALSE)))))</f>
        <v>26.014999999999997</v>
      </c>
      <c r="G9" s="36">
        <f t="shared" si="0"/>
        <v>197.71399999999997</v>
      </c>
      <c r="H9" s="36">
        <f t="shared" si="1"/>
        <v>0</v>
      </c>
      <c r="I9" s="36"/>
      <c r="J9" s="36"/>
      <c r="K9" s="36">
        <f t="shared" si="2"/>
        <v>197.71399999999997</v>
      </c>
      <c r="L9" s="36">
        <f t="shared" si="3"/>
        <v>197.71399999999997</v>
      </c>
      <c r="M9" s="36" t="s">
        <v>51</v>
      </c>
      <c r="N9" s="36"/>
      <c r="O9" s="36"/>
    </row>
    <row r="10" spans="1:15" x14ac:dyDescent="0.25">
      <c r="A10" s="2">
        <v>6</v>
      </c>
      <c r="B10" s="2">
        <v>23</v>
      </c>
      <c r="C10" s="36" t="s">
        <v>23</v>
      </c>
      <c r="D10" s="5">
        <v>38</v>
      </c>
      <c r="E10" s="36">
        <f>IF(ISNA(VLOOKUP(B10,Données!J14:K25,2,FALSE)),0,VLOOKUP(B10,Données!J14:K25,2,FALSE))</f>
        <v>0</v>
      </c>
      <c r="F10" s="36">
        <f>IF(C10="","",IF(C10="gestion",($B$4*(VLOOKUP($B$3&amp;"-"&amp;$L$2,Données!$A$1:$F$31,5,FALSE))),($B$4*(VLOOKUP($B$3&amp;"-"&amp;$L$2,Données!$A$1:$F$31,4,FALSE)))))</f>
        <v>26.014999999999997</v>
      </c>
      <c r="G10" s="36">
        <f t="shared" si="0"/>
        <v>988.56999999999994</v>
      </c>
      <c r="H10" s="36">
        <f t="shared" si="1"/>
        <v>0</v>
      </c>
      <c r="I10" s="36"/>
      <c r="J10" s="36"/>
      <c r="K10" s="36">
        <f t="shared" si="2"/>
        <v>988.56999999999994</v>
      </c>
      <c r="L10" s="36">
        <f t="shared" si="3"/>
        <v>988.56999999999994</v>
      </c>
      <c r="M10" s="36" t="s">
        <v>51</v>
      </c>
      <c r="N10" s="36"/>
      <c r="O10" s="36"/>
    </row>
    <row r="11" spans="1:15" x14ac:dyDescent="0.25">
      <c r="A11" s="2">
        <v>6</v>
      </c>
      <c r="B11" s="2">
        <v>24</v>
      </c>
      <c r="C11" s="36" t="s">
        <v>23</v>
      </c>
      <c r="D11" s="5">
        <v>30.4</v>
      </c>
      <c r="E11" s="36">
        <f>IF(ISNA(VLOOKUP(B11,Données!J15:K26,2,FALSE)),0,VLOOKUP(B11,Données!J15:K26,2,FALSE))</f>
        <v>0</v>
      </c>
      <c r="F11" s="36">
        <f>IF(C11="","",IF(C11="gestion",($B$4*(VLOOKUP($B$3&amp;"-"&amp;$L$2,Données!$A$1:$F$31,5,FALSE))),($B$4*(VLOOKUP($B$3&amp;"-"&amp;$L$2,Données!$A$1:$F$31,4,FALSE)))))</f>
        <v>26.014999999999997</v>
      </c>
      <c r="G11" s="36">
        <f t="shared" si="0"/>
        <v>790.85599999999988</v>
      </c>
      <c r="H11" s="36">
        <f t="shared" si="1"/>
        <v>0</v>
      </c>
      <c r="I11" s="36"/>
      <c r="J11" s="36"/>
      <c r="K11" s="36">
        <f t="shared" si="2"/>
        <v>790.85599999999988</v>
      </c>
      <c r="L11" s="36">
        <f t="shared" si="3"/>
        <v>790.85599999999988</v>
      </c>
      <c r="M11" s="36" t="s">
        <v>51</v>
      </c>
      <c r="N11" s="36"/>
      <c r="O11" s="36"/>
    </row>
    <row r="12" spans="1:15" x14ac:dyDescent="0.25">
      <c r="A12" s="2">
        <v>6</v>
      </c>
      <c r="B12" s="3">
        <v>25</v>
      </c>
      <c r="C12" s="36"/>
      <c r="D12" s="6">
        <v>38</v>
      </c>
      <c r="E12" s="36">
        <f>IF(ISNA(VLOOKUP(B12,Données!J16:K27,2,FALSE)),0,VLOOKUP(B12,Données!J16:K27,2,FALSE))</f>
        <v>0</v>
      </c>
      <c r="F12" s="36" t="str">
        <f>IF(C12="","",IF(C12="gestion",($B$4*(VLOOKUP($B$3&amp;"-"&amp;$L$2,Données!$A$1:$F$31,5,FALSE))),($B$4*(VLOOKUP($B$3&amp;"-"&amp;$L$2,Données!$A$1:$F$31,4,FALSE)))))</f>
        <v/>
      </c>
      <c r="G12" s="36"/>
      <c r="H12" s="36"/>
      <c r="I12" s="36"/>
      <c r="J12" s="36"/>
      <c r="K12" s="36"/>
      <c r="L12" s="36"/>
      <c r="M12" s="36" t="s">
        <v>51</v>
      </c>
      <c r="N12" s="36"/>
      <c r="O12" s="36"/>
    </row>
    <row r="13" spans="1:15" x14ac:dyDescent="0.25">
      <c r="A13" s="2">
        <v>6</v>
      </c>
      <c r="B13" s="2">
        <v>26</v>
      </c>
      <c r="C13" s="36"/>
      <c r="D13" s="7">
        <v>38</v>
      </c>
      <c r="E13" s="36">
        <f>IF(ISNA(VLOOKUP(B13,Données!J17:K28,2,FALSE)),0,VLOOKUP(B13,Données!J17:K28,2,FALSE))</f>
        <v>0</v>
      </c>
      <c r="F13" s="36" t="str">
        <f>IF(C13="","",IF(C13="gestion",($B$4*(VLOOKUP($B$3&amp;"-"&amp;$L$2,Données!$A$1:$F$31,5,FALSE))),($B$4*(VLOOKUP($B$3&amp;"-"&amp;$L$2,Données!$A$1:$F$31,4,FALSE)))))</f>
        <v/>
      </c>
      <c r="G13" s="36"/>
      <c r="H13" s="36"/>
      <c r="I13" s="36"/>
      <c r="J13" s="36"/>
      <c r="K13" s="36"/>
      <c r="L13" s="36"/>
      <c r="M13" s="36"/>
      <c r="N13" s="36"/>
      <c r="O13" s="36"/>
    </row>
    <row r="14" spans="1:15" x14ac:dyDescent="0.25">
      <c r="A14" s="2"/>
      <c r="B14" s="4">
        <v>27</v>
      </c>
      <c r="C14" s="36"/>
      <c r="D14" s="7"/>
      <c r="E14" s="36">
        <f>IF(ISNA(VLOOKUP(B14,Données!J18:K29,2,FALSE)),0,VLOOKUP(B14,Données!J18:K29,2,FALSE))</f>
        <v>0</v>
      </c>
      <c r="F14" s="36" t="str">
        <f>IF(C14="","",IF(C14="gestion",($B$4*(VLOOKUP($B$3&amp;"-"&amp;$L$2,Données!$A$1:$F$31,5,FALSE))),($B$4*(VLOOKUP($B$3&amp;"-"&amp;$L$2,Données!$A$1:$F$31,4,FALSE)))))</f>
        <v/>
      </c>
      <c r="G14" s="36"/>
      <c r="H14" s="36"/>
      <c r="I14" s="36"/>
      <c r="J14" s="36"/>
      <c r="K14" s="36"/>
      <c r="L14" s="36"/>
      <c r="M14" s="36"/>
      <c r="N14" s="36"/>
      <c r="O14" s="36"/>
    </row>
    <row r="15" spans="1:15" x14ac:dyDescent="0.25">
      <c r="A15" s="2"/>
      <c r="B15" s="4"/>
      <c r="C15" s="36"/>
      <c r="D15" s="7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5" x14ac:dyDescent="0.25">
      <c r="A16" s="2"/>
      <c r="B16" s="4"/>
      <c r="C16" s="36"/>
      <c r="D16" s="7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1:15" x14ac:dyDescent="0.25">
      <c r="A17" s="2"/>
      <c r="B17" s="4"/>
      <c r="C17" s="36"/>
      <c r="D17" s="42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x14ac:dyDescent="0.25">
      <c r="A18" s="2"/>
      <c r="B18" s="4"/>
      <c r="C18" s="36"/>
      <c r="D18" s="42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15" x14ac:dyDescent="0.25">
      <c r="A19" s="2"/>
      <c r="B19" s="4"/>
      <c r="C19" s="36"/>
      <c r="D19" s="42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x14ac:dyDescent="0.25">
      <c r="A20" s="2"/>
      <c r="B20" s="4"/>
      <c r="C20" s="36"/>
      <c r="D20" s="42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1:15" x14ac:dyDescent="0.25">
      <c r="A21" s="2"/>
      <c r="B21" s="4"/>
      <c r="C21" s="36"/>
      <c r="D21" s="42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x14ac:dyDescent="0.25">
      <c r="A22" s="2"/>
      <c r="B22" s="3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x14ac:dyDescent="0.25">
      <c r="A23" s="2"/>
      <c r="B23" s="3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1:15" x14ac:dyDescent="0.25">
      <c r="C24" s="44"/>
      <c r="D24" s="4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DF20-F733-41AA-8334-4E167FD620E1}">
  <dimension ref="A1:L23"/>
  <sheetViews>
    <sheetView workbookViewId="0">
      <selection activeCell="C1" sqref="C1"/>
    </sheetView>
  </sheetViews>
  <sheetFormatPr baseColWidth="10" defaultRowHeight="15" x14ac:dyDescent="0.25"/>
  <cols>
    <col min="1" max="1" width="40.7109375" bestFit="1" customWidth="1"/>
    <col min="2" max="2" width="17" bestFit="1" customWidth="1"/>
    <col min="9" max="9" width="36.7109375" bestFit="1" customWidth="1"/>
  </cols>
  <sheetData>
    <row r="1" spans="1:12" x14ac:dyDescent="0.25">
      <c r="A1" t="s">
        <v>50</v>
      </c>
      <c r="B1" s="65">
        <v>43311</v>
      </c>
    </row>
    <row r="3" spans="1:12" x14ac:dyDescent="0.25">
      <c r="C3" s="8" t="s">
        <v>66</v>
      </c>
      <c r="D3" s="8" t="s">
        <v>65</v>
      </c>
      <c r="E3" s="8" t="s">
        <v>94</v>
      </c>
    </row>
    <row r="4" spans="1:12" x14ac:dyDescent="0.25">
      <c r="A4" s="8" t="s">
        <v>75</v>
      </c>
      <c r="B4" s="8"/>
      <c r="C4" s="8">
        <v>1</v>
      </c>
      <c r="D4" s="64">
        <v>1</v>
      </c>
      <c r="E4" s="8">
        <v>1</v>
      </c>
      <c r="F4" s="43"/>
      <c r="G4" s="43"/>
      <c r="H4" t="s">
        <v>76</v>
      </c>
      <c r="J4" s="43"/>
      <c r="K4" s="43"/>
      <c r="L4" s="43"/>
    </row>
    <row r="5" spans="1:12" x14ac:dyDescent="0.25">
      <c r="A5" s="8" t="s">
        <v>77</v>
      </c>
      <c r="B5" s="8"/>
      <c r="C5" s="8">
        <v>152</v>
      </c>
      <c r="D5" s="64">
        <v>99.18</v>
      </c>
      <c r="E5" s="8">
        <v>150.48000000000002</v>
      </c>
      <c r="F5" s="43"/>
      <c r="G5" s="43"/>
      <c r="J5" s="43"/>
      <c r="K5" s="43"/>
      <c r="L5" s="43"/>
    </row>
    <row r="6" spans="1:12" x14ac:dyDescent="0.25">
      <c r="D6" s="43"/>
      <c r="F6" s="43"/>
      <c r="G6" s="43"/>
      <c r="J6" s="43"/>
      <c r="K6" s="43"/>
      <c r="L6" s="43"/>
    </row>
    <row r="7" spans="1:12" x14ac:dyDescent="0.25">
      <c r="D7" s="43"/>
      <c r="F7" s="43"/>
      <c r="G7" s="43"/>
      <c r="J7" s="43"/>
      <c r="K7" s="43"/>
      <c r="L7" s="43"/>
    </row>
    <row r="8" spans="1:12" x14ac:dyDescent="0.25">
      <c r="B8" s="8" t="s">
        <v>78</v>
      </c>
      <c r="C8" s="8" t="s">
        <v>79</v>
      </c>
      <c r="D8" s="64" t="s">
        <v>80</v>
      </c>
      <c r="E8" s="8" t="s">
        <v>81</v>
      </c>
      <c r="F8" s="64" t="s">
        <v>2</v>
      </c>
      <c r="G8" s="64" t="s">
        <v>82</v>
      </c>
      <c r="H8" s="8" t="s">
        <v>83</v>
      </c>
      <c r="I8" s="8" t="s">
        <v>84</v>
      </c>
      <c r="J8" s="64" t="s">
        <v>93</v>
      </c>
      <c r="K8" s="64"/>
      <c r="L8" s="64"/>
    </row>
    <row r="9" spans="1:12" x14ac:dyDescent="0.25">
      <c r="A9" s="8" t="s">
        <v>65</v>
      </c>
      <c r="B9" s="8"/>
      <c r="C9" s="8"/>
      <c r="D9" s="64"/>
      <c r="E9" s="8"/>
      <c r="F9" s="64"/>
      <c r="G9" s="64"/>
      <c r="H9" s="8"/>
      <c r="I9" s="8"/>
      <c r="J9" s="64"/>
      <c r="K9" s="64"/>
      <c r="L9" s="64"/>
    </row>
    <row r="10" spans="1:12" x14ac:dyDescent="0.25">
      <c r="A10" s="8" t="s">
        <v>95</v>
      </c>
      <c r="B10" s="8" t="s">
        <v>36</v>
      </c>
      <c r="C10" s="8" t="s">
        <v>85</v>
      </c>
      <c r="D10" s="64">
        <v>43164</v>
      </c>
      <c r="E10" s="8">
        <v>43259</v>
      </c>
      <c r="F10" s="64" t="s">
        <v>86</v>
      </c>
      <c r="G10" s="64">
        <v>41.040000000000006</v>
      </c>
      <c r="H10" s="8">
        <v>28.44</v>
      </c>
      <c r="I10" s="8">
        <v>1167.1776000000002</v>
      </c>
      <c r="J10" s="8">
        <v>1400.6131200000002</v>
      </c>
      <c r="K10" s="64"/>
      <c r="L10" s="64"/>
    </row>
    <row r="11" spans="1:12" x14ac:dyDescent="0.25">
      <c r="A11" s="8" t="s">
        <v>96</v>
      </c>
      <c r="B11" s="8" t="s">
        <v>87</v>
      </c>
      <c r="C11" s="8" t="s">
        <v>85</v>
      </c>
      <c r="D11" s="64">
        <v>43269</v>
      </c>
      <c r="E11" s="8">
        <v>43294</v>
      </c>
      <c r="F11" s="64" t="s">
        <v>32</v>
      </c>
      <c r="G11" s="64">
        <v>58.14</v>
      </c>
      <c r="H11" s="8">
        <v>18.239999999999998</v>
      </c>
      <c r="I11" s="8">
        <v>1060.4736</v>
      </c>
      <c r="J11" s="8">
        <v>1272.5683200000001</v>
      </c>
      <c r="K11" s="64"/>
      <c r="L11" s="64"/>
    </row>
    <row r="12" spans="1:12" x14ac:dyDescent="0.25">
      <c r="A12" s="8" t="s">
        <v>97</v>
      </c>
      <c r="B12" s="8"/>
      <c r="C12" s="8"/>
      <c r="D12" s="64"/>
      <c r="E12" s="8"/>
      <c r="F12" s="64"/>
      <c r="G12" s="64">
        <v>99.18</v>
      </c>
      <c r="H12" s="8"/>
      <c r="I12" s="8">
        <v>1167.1776000000002</v>
      </c>
      <c r="J12" s="8">
        <v>2673.1814400000003</v>
      </c>
      <c r="K12" s="64"/>
      <c r="L12" s="64"/>
    </row>
    <row r="13" spans="1:12" x14ac:dyDescent="0.25">
      <c r="A13" s="8" t="s">
        <v>67</v>
      </c>
      <c r="B13" s="8"/>
      <c r="C13" s="8"/>
      <c r="D13" s="64"/>
      <c r="E13" s="8"/>
      <c r="F13" s="64"/>
      <c r="G13" s="64"/>
      <c r="H13" s="8"/>
      <c r="I13" s="8"/>
      <c r="J13" s="8"/>
      <c r="K13" s="64"/>
      <c r="L13" s="64"/>
    </row>
    <row r="14" spans="1:12" x14ac:dyDescent="0.25">
      <c r="A14" s="8" t="s">
        <v>99</v>
      </c>
      <c r="B14" s="8" t="s">
        <v>88</v>
      </c>
      <c r="C14" s="8" t="s">
        <v>46</v>
      </c>
      <c r="D14" s="64">
        <v>43234</v>
      </c>
      <c r="E14" s="8">
        <v>43385</v>
      </c>
      <c r="F14" s="64" t="s">
        <v>5</v>
      </c>
      <c r="G14" s="64">
        <v>150.48000000000002</v>
      </c>
      <c r="H14" s="8">
        <v>45.13</v>
      </c>
      <c r="I14" s="8">
        <v>6791.1624000000011</v>
      </c>
      <c r="J14" s="8">
        <v>12964.946400000001</v>
      </c>
      <c r="K14" s="64"/>
      <c r="L14" s="64"/>
    </row>
    <row r="15" spans="1:12" x14ac:dyDescent="0.25">
      <c r="A15" s="8" t="s">
        <v>98</v>
      </c>
      <c r="B15" s="8"/>
      <c r="C15" s="8"/>
      <c r="D15" s="64"/>
      <c r="E15" s="8"/>
      <c r="F15" s="64"/>
      <c r="G15" s="64">
        <v>150.48000000000002</v>
      </c>
      <c r="H15" s="8"/>
      <c r="I15" s="8">
        <v>6791.1624000000011</v>
      </c>
      <c r="J15" s="8">
        <v>12964.946400000001</v>
      </c>
      <c r="K15" s="64"/>
      <c r="L15" s="64"/>
    </row>
    <row r="16" spans="1:12" x14ac:dyDescent="0.25">
      <c r="A16" s="8" t="s">
        <v>66</v>
      </c>
      <c r="B16" s="8"/>
      <c r="C16" s="8"/>
      <c r="D16" s="64"/>
      <c r="E16" s="8"/>
      <c r="F16" s="64"/>
      <c r="G16" s="64"/>
      <c r="H16" s="8"/>
      <c r="I16" s="8"/>
      <c r="J16" s="8"/>
      <c r="K16" s="64"/>
      <c r="L16" s="64"/>
    </row>
    <row r="17" spans="1:12" x14ac:dyDescent="0.25">
      <c r="A17" s="8" t="s">
        <v>100</v>
      </c>
      <c r="B17" s="8" t="s">
        <v>89</v>
      </c>
      <c r="C17" s="8" t="s">
        <v>46</v>
      </c>
      <c r="D17" s="64">
        <v>43242</v>
      </c>
      <c r="E17" s="8">
        <v>43333</v>
      </c>
      <c r="F17" s="64" t="s">
        <v>5</v>
      </c>
      <c r="G17" s="64">
        <v>152</v>
      </c>
      <c r="H17" s="8">
        <v>26.01</v>
      </c>
      <c r="I17" s="8">
        <v>3953.5200000000004</v>
      </c>
      <c r="J17" s="8">
        <v>2372.1120000000001</v>
      </c>
      <c r="K17" s="64"/>
      <c r="L17" s="64"/>
    </row>
    <row r="18" spans="1:12" x14ac:dyDescent="0.25">
      <c r="A18" s="8" t="s">
        <v>101</v>
      </c>
      <c r="B18" s="8"/>
      <c r="C18" s="8"/>
      <c r="D18" s="8"/>
      <c r="E18" s="8"/>
      <c r="F18" s="8"/>
      <c r="G18" s="64">
        <v>152</v>
      </c>
      <c r="H18" s="8"/>
      <c r="I18" s="8">
        <v>3953.5200000000004</v>
      </c>
      <c r="J18" s="8">
        <v>2372.1120000000001</v>
      </c>
      <c r="K18" s="64"/>
      <c r="L18" s="64"/>
    </row>
    <row r="19" spans="1:12" x14ac:dyDescent="0.25">
      <c r="A19" s="8" t="s">
        <v>90</v>
      </c>
      <c r="B19" s="8"/>
      <c r="C19" s="8"/>
      <c r="D19" s="8"/>
      <c r="E19" s="8"/>
      <c r="F19" s="8"/>
      <c r="G19" s="64">
        <v>401.66</v>
      </c>
      <c r="H19" s="8"/>
      <c r="I19" s="8">
        <v>11911.86</v>
      </c>
      <c r="J19" s="8">
        <v>18010.239840000002</v>
      </c>
      <c r="K19" s="64"/>
      <c r="L19" s="64"/>
    </row>
    <row r="22" spans="1:12" x14ac:dyDescent="0.25">
      <c r="B22" s="8" t="s">
        <v>72</v>
      </c>
      <c r="C22" s="8" t="s">
        <v>73</v>
      </c>
      <c r="D22" s="8" t="s">
        <v>68</v>
      </c>
      <c r="E22" s="8" t="s">
        <v>70</v>
      </c>
      <c r="F22" s="8" t="s">
        <v>69</v>
      </c>
      <c r="G22" s="8" t="s">
        <v>102</v>
      </c>
      <c r="H22" s="8" t="s">
        <v>91</v>
      </c>
    </row>
    <row r="23" spans="1:12" x14ac:dyDescent="0.25">
      <c r="A23" s="8" t="s">
        <v>92</v>
      </c>
      <c r="B23" s="8">
        <v>1272.5683200000001</v>
      </c>
      <c r="C23" s="8">
        <v>0</v>
      </c>
      <c r="D23" s="8">
        <v>15337.058400000002</v>
      </c>
      <c r="E23" s="8">
        <v>0</v>
      </c>
      <c r="F23" s="8">
        <v>0</v>
      </c>
      <c r="G23" s="8">
        <v>1400.6131200000002</v>
      </c>
      <c r="H23" s="8">
        <v>18010.239840000002</v>
      </c>
    </row>
  </sheetData>
  <dataConsolidate topLabels="1">
    <dataRefs count="2">
      <dataRef ref="A5:O21" sheet="GUERRET Charlotte" r:id="rId1"/>
      <dataRef ref="A5:XFD21" sheet="Personne 1"/>
    </dataRefs>
  </dataConsolid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31F6-FB30-4263-BD0B-82C7795E0CD0}">
  <dimension ref="A1:K31"/>
  <sheetViews>
    <sheetView topLeftCell="B7" workbookViewId="0">
      <selection activeCell="H17" sqref="H17"/>
    </sheetView>
  </sheetViews>
  <sheetFormatPr baseColWidth="10" defaultRowHeight="15" x14ac:dyDescent="0.25"/>
  <cols>
    <col min="1" max="1" width="44.140625" bestFit="1" customWidth="1"/>
    <col min="2" max="2" width="14.85546875" bestFit="1" customWidth="1"/>
    <col min="3" max="3" width="29.28515625" bestFit="1" customWidth="1"/>
    <col min="4" max="4" width="10.140625" bestFit="1" customWidth="1"/>
    <col min="6" max="6" width="69.5703125" bestFit="1" customWidth="1"/>
    <col min="8" max="8" width="18.28515625" bestFit="1" customWidth="1"/>
    <col min="9" max="9" width="18.5703125" bestFit="1" customWidth="1"/>
    <col min="10" max="10" width="23.7109375" bestFit="1" customWidth="1"/>
  </cols>
  <sheetData>
    <row r="1" spans="1:11" ht="30" x14ac:dyDescent="0.25">
      <c r="A1" s="8" t="s">
        <v>47</v>
      </c>
      <c r="B1" s="8" t="s">
        <v>2</v>
      </c>
      <c r="C1" s="8" t="s">
        <v>22</v>
      </c>
      <c r="D1" s="9" t="s">
        <v>23</v>
      </c>
      <c r="E1" s="9" t="s">
        <v>24</v>
      </c>
      <c r="F1" s="9" t="s">
        <v>49</v>
      </c>
      <c r="H1" s="24" t="s">
        <v>2</v>
      </c>
      <c r="I1" s="25" t="s">
        <v>33</v>
      </c>
      <c r="J1" s="25" t="s">
        <v>34</v>
      </c>
      <c r="K1" s="45"/>
    </row>
    <row r="2" spans="1:11" x14ac:dyDescent="0.25">
      <c r="A2" s="10" t="str">
        <f>B2&amp;"-"&amp;C2</f>
        <v>PP-Personnel peu qualifié</v>
      </c>
      <c r="B2" s="10" t="s">
        <v>68</v>
      </c>
      <c r="C2" s="10" t="s">
        <v>25</v>
      </c>
      <c r="D2" s="11">
        <v>2.12</v>
      </c>
      <c r="E2" s="11">
        <v>2</v>
      </c>
      <c r="F2" s="49">
        <v>5</v>
      </c>
      <c r="H2" t="s">
        <v>68</v>
      </c>
      <c r="I2" s="26" t="s">
        <v>65</v>
      </c>
      <c r="J2" t="s">
        <v>35</v>
      </c>
    </row>
    <row r="3" spans="1:11" x14ac:dyDescent="0.25">
      <c r="A3" s="12" t="str">
        <f t="shared" ref="A3:A31" si="0">B3&amp;"-"&amp;C3</f>
        <v>PP-Standardiste, aide comptable</v>
      </c>
      <c r="B3" s="10" t="s">
        <v>68</v>
      </c>
      <c r="C3" s="12" t="s">
        <v>26</v>
      </c>
      <c r="D3" s="13">
        <v>2.12</v>
      </c>
      <c r="E3" s="13">
        <v>2</v>
      </c>
      <c r="F3" s="50"/>
      <c r="H3" t="s">
        <v>73</v>
      </c>
      <c r="I3" s="26" t="s">
        <v>66</v>
      </c>
      <c r="J3" t="s">
        <v>36</v>
      </c>
    </row>
    <row r="4" spans="1:11" x14ac:dyDescent="0.25">
      <c r="A4" s="12" t="str">
        <f t="shared" si="0"/>
        <v>PP-Personnel qualifié</v>
      </c>
      <c r="B4" s="10" t="s">
        <v>68</v>
      </c>
      <c r="C4" s="12" t="s">
        <v>27</v>
      </c>
      <c r="D4" s="13">
        <v>2.15</v>
      </c>
      <c r="E4" s="13">
        <v>2</v>
      </c>
      <c r="F4" s="50"/>
      <c r="H4" t="s">
        <v>69</v>
      </c>
      <c r="I4" t="s">
        <v>67</v>
      </c>
      <c r="J4" t="s">
        <v>37</v>
      </c>
    </row>
    <row r="5" spans="1:11" x14ac:dyDescent="0.25">
      <c r="A5" s="12" t="str">
        <f t="shared" si="0"/>
        <v>PP-Standardiste bilingue, comptable</v>
      </c>
      <c r="B5" s="10" t="s">
        <v>68</v>
      </c>
      <c r="C5" s="12" t="s">
        <v>28</v>
      </c>
      <c r="D5" s="13">
        <v>2.15</v>
      </c>
      <c r="E5" s="13">
        <v>2</v>
      </c>
      <c r="F5" s="50"/>
      <c r="H5" t="s">
        <v>70</v>
      </c>
      <c r="J5" t="s">
        <v>38</v>
      </c>
    </row>
    <row r="6" spans="1:11" x14ac:dyDescent="0.25">
      <c r="A6" s="12" t="str">
        <f t="shared" si="0"/>
        <v>PP-Cadre</v>
      </c>
      <c r="B6" s="10" t="s">
        <v>68</v>
      </c>
      <c r="C6" s="12" t="s">
        <v>29</v>
      </c>
      <c r="D6" s="13">
        <v>2.2999999999999998</v>
      </c>
      <c r="E6" s="13">
        <v>2</v>
      </c>
      <c r="F6" s="51"/>
      <c r="H6" t="s">
        <v>71</v>
      </c>
      <c r="J6" t="s">
        <v>39</v>
      </c>
    </row>
    <row r="7" spans="1:11" x14ac:dyDescent="0.25">
      <c r="A7" s="14" t="str">
        <f t="shared" si="0"/>
        <v>D-Personnel peu qualifié</v>
      </c>
      <c r="B7" s="14" t="s">
        <v>69</v>
      </c>
      <c r="C7" s="14" t="s">
        <v>25</v>
      </c>
      <c r="D7" s="15">
        <v>1.82</v>
      </c>
      <c r="E7" s="15">
        <v>1.8</v>
      </c>
      <c r="F7" s="52">
        <v>13</v>
      </c>
      <c r="H7" t="s">
        <v>72</v>
      </c>
      <c r="J7" t="s">
        <v>40</v>
      </c>
    </row>
    <row r="8" spans="1:11" x14ac:dyDescent="0.25">
      <c r="A8" s="14" t="str">
        <f t="shared" si="0"/>
        <v>D-Standardiste, aide comptable</v>
      </c>
      <c r="B8" s="14" t="s">
        <v>69</v>
      </c>
      <c r="C8" s="14" t="s">
        <v>26</v>
      </c>
      <c r="D8" s="15">
        <v>1.82</v>
      </c>
      <c r="E8" s="15">
        <v>1.8</v>
      </c>
      <c r="F8" s="53"/>
      <c r="J8" t="s">
        <v>41</v>
      </c>
    </row>
    <row r="9" spans="1:11" x14ac:dyDescent="0.25">
      <c r="A9" s="14" t="str">
        <f t="shared" si="0"/>
        <v>D-Personnel qualifié</v>
      </c>
      <c r="B9" s="14" t="s">
        <v>69</v>
      </c>
      <c r="C9" s="14" t="s">
        <v>27</v>
      </c>
      <c r="D9" s="15">
        <v>1.93</v>
      </c>
      <c r="E9" s="15">
        <v>1.83</v>
      </c>
      <c r="F9" s="53"/>
    </row>
    <row r="10" spans="1:11" x14ac:dyDescent="0.25">
      <c r="A10" s="14" t="str">
        <f t="shared" si="0"/>
        <v>D-Standardiste bilingue, comptable</v>
      </c>
      <c r="B10" s="14" t="s">
        <v>69</v>
      </c>
      <c r="C10" s="14" t="s">
        <v>28</v>
      </c>
      <c r="D10" s="15">
        <v>1.92</v>
      </c>
      <c r="E10" s="15">
        <v>1.82</v>
      </c>
      <c r="F10" s="53"/>
    </row>
    <row r="11" spans="1:11" x14ac:dyDescent="0.25">
      <c r="A11" s="14" t="str">
        <f t="shared" si="0"/>
        <v>D-Cadre</v>
      </c>
      <c r="B11" s="14" t="s">
        <v>69</v>
      </c>
      <c r="C11" s="14" t="s">
        <v>29</v>
      </c>
      <c r="D11" s="15">
        <v>1.99</v>
      </c>
      <c r="E11" s="15">
        <v>1.93</v>
      </c>
      <c r="F11" s="54"/>
      <c r="H11" t="s">
        <v>21</v>
      </c>
      <c r="I11">
        <v>2018</v>
      </c>
      <c r="J11" t="s">
        <v>52</v>
      </c>
    </row>
    <row r="12" spans="1:11" x14ac:dyDescent="0.25">
      <c r="A12" s="16" t="str">
        <f t="shared" si="0"/>
        <v>A-Personnel peu qualifié</v>
      </c>
      <c r="B12" s="16" t="s">
        <v>70</v>
      </c>
      <c r="C12" s="16" t="s">
        <v>25</v>
      </c>
      <c r="D12" s="17">
        <v>1.78</v>
      </c>
      <c r="E12" s="17">
        <v>1.7749999999999999</v>
      </c>
      <c r="F12" s="55">
        <v>15</v>
      </c>
      <c r="H12" t="s">
        <v>54</v>
      </c>
      <c r="I12" s="46">
        <f xml:space="preserve"> DATE($I$11,1,1)</f>
        <v>43101</v>
      </c>
      <c r="J12">
        <f>WEEKNUM(I12,1)</f>
        <v>1</v>
      </c>
      <c r="K12">
        <f>COUNTIF($J$12:$J$22,J12)</f>
        <v>1</v>
      </c>
    </row>
    <row r="13" spans="1:11" x14ac:dyDescent="0.25">
      <c r="A13" s="16" t="str">
        <f t="shared" si="0"/>
        <v>A-Standardiste, aide comptable</v>
      </c>
      <c r="B13" s="16" t="s">
        <v>70</v>
      </c>
      <c r="C13" s="16" t="s">
        <v>26</v>
      </c>
      <c r="D13" s="17">
        <v>1.82</v>
      </c>
      <c r="E13" s="17">
        <v>1.8</v>
      </c>
      <c r="F13" s="56"/>
      <c r="H13" t="s">
        <v>53</v>
      </c>
      <c r="I13" s="46">
        <f>FLOOR(DAY(MINUTE($I$11/38)/2+56)&amp;"/5/"&amp;$I$11,7)-34+1</f>
        <v>43192</v>
      </c>
      <c r="J13">
        <f t="shared" ref="J13:J22" si="1">WEEKNUM(I13,1)</f>
        <v>14</v>
      </c>
      <c r="K13">
        <f t="shared" ref="K13:K22" si="2">COUNTIF($J$12:$J$22,J13)</f>
        <v>1</v>
      </c>
    </row>
    <row r="14" spans="1:11" x14ac:dyDescent="0.25">
      <c r="A14" s="16" t="str">
        <f t="shared" si="0"/>
        <v>A-Personnel qualifié</v>
      </c>
      <c r="B14" s="16" t="s">
        <v>70</v>
      </c>
      <c r="C14" s="16" t="s">
        <v>27</v>
      </c>
      <c r="D14" s="17">
        <v>1.83</v>
      </c>
      <c r="E14" s="17">
        <v>1.825</v>
      </c>
      <c r="F14" s="56"/>
      <c r="H14" t="s">
        <v>55</v>
      </c>
      <c r="I14" s="46">
        <f>DATE($I$11,5,1)</f>
        <v>43221</v>
      </c>
      <c r="J14">
        <f t="shared" si="1"/>
        <v>18</v>
      </c>
      <c r="K14">
        <f t="shared" si="2"/>
        <v>1</v>
      </c>
    </row>
    <row r="15" spans="1:11" x14ac:dyDescent="0.25">
      <c r="A15" s="16" t="str">
        <f t="shared" si="0"/>
        <v>A-Standardiste bilingue, comptable</v>
      </c>
      <c r="B15" s="16" t="s">
        <v>70</v>
      </c>
      <c r="C15" s="16" t="s">
        <v>28</v>
      </c>
      <c r="D15" s="17">
        <v>1.95</v>
      </c>
      <c r="E15" s="17">
        <v>1.85</v>
      </c>
      <c r="F15" s="56"/>
      <c r="H15" t="s">
        <v>58</v>
      </c>
      <c r="I15" s="46">
        <f>DATE($I$11,5,8)</f>
        <v>43228</v>
      </c>
      <c r="J15">
        <f t="shared" si="1"/>
        <v>19</v>
      </c>
      <c r="K15">
        <f t="shared" si="2"/>
        <v>2</v>
      </c>
    </row>
    <row r="16" spans="1:11" x14ac:dyDescent="0.25">
      <c r="A16" s="16" t="str">
        <f t="shared" si="0"/>
        <v>A-Cadre</v>
      </c>
      <c r="B16" s="16" t="s">
        <v>70</v>
      </c>
      <c r="C16" s="16" t="s">
        <v>29</v>
      </c>
      <c r="D16" s="17">
        <v>2.15</v>
      </c>
      <c r="E16" s="17">
        <v>2.0499999999999998</v>
      </c>
      <c r="F16" s="57"/>
      <c r="H16" t="s">
        <v>60</v>
      </c>
      <c r="I16" s="46">
        <f>$I$13+38</f>
        <v>43230</v>
      </c>
      <c r="J16">
        <f t="shared" si="1"/>
        <v>19</v>
      </c>
      <c r="K16">
        <f t="shared" si="2"/>
        <v>2</v>
      </c>
    </row>
    <row r="17" spans="1:11" x14ac:dyDescent="0.25">
      <c r="A17" s="18" t="str">
        <f t="shared" si="0"/>
        <v>LI-Personnel peu qualifié</v>
      </c>
      <c r="B17" s="18" t="s">
        <v>71</v>
      </c>
      <c r="C17" s="18" t="s">
        <v>25</v>
      </c>
      <c r="D17" s="19">
        <v>1.78</v>
      </c>
      <c r="E17" s="19">
        <v>1.78</v>
      </c>
      <c r="F17" s="58"/>
      <c r="H17" s="47" t="s">
        <v>59</v>
      </c>
      <c r="I17" s="48">
        <f>$I$13+49</f>
        <v>43241</v>
      </c>
      <c r="J17" s="47">
        <f t="shared" si="1"/>
        <v>21</v>
      </c>
      <c r="K17" s="47">
        <f t="shared" si="2"/>
        <v>1</v>
      </c>
    </row>
    <row r="18" spans="1:11" x14ac:dyDescent="0.25">
      <c r="A18" s="18" t="str">
        <f t="shared" si="0"/>
        <v>LI-Standardiste, aide comptable</v>
      </c>
      <c r="B18" s="18" t="s">
        <v>71</v>
      </c>
      <c r="C18" s="18" t="s">
        <v>26</v>
      </c>
      <c r="D18" s="19">
        <v>1.78</v>
      </c>
      <c r="E18" s="19">
        <v>1.78</v>
      </c>
      <c r="F18" s="59"/>
      <c r="H18" t="s">
        <v>57</v>
      </c>
      <c r="I18" s="46">
        <f>DATE($I$11,7,14)</f>
        <v>43295</v>
      </c>
      <c r="J18">
        <f t="shared" si="1"/>
        <v>28</v>
      </c>
      <c r="K18">
        <f t="shared" si="2"/>
        <v>1</v>
      </c>
    </row>
    <row r="19" spans="1:11" x14ac:dyDescent="0.25">
      <c r="A19" s="18" t="str">
        <f t="shared" si="0"/>
        <v>LI-Personnel qualifié</v>
      </c>
      <c r="B19" s="18" t="s">
        <v>71</v>
      </c>
      <c r="C19" s="18" t="s">
        <v>27</v>
      </c>
      <c r="D19" s="19">
        <v>1.91</v>
      </c>
      <c r="E19" s="19">
        <v>1.89</v>
      </c>
      <c r="F19" s="59"/>
      <c r="H19" t="s">
        <v>56</v>
      </c>
      <c r="I19" s="46">
        <f>DATE($I$11,8,15)</f>
        <v>43327</v>
      </c>
      <c r="J19">
        <f t="shared" si="1"/>
        <v>33</v>
      </c>
      <c r="K19">
        <f t="shared" si="2"/>
        <v>1</v>
      </c>
    </row>
    <row r="20" spans="1:11" x14ac:dyDescent="0.25">
      <c r="A20" s="18" t="str">
        <f t="shared" si="0"/>
        <v>LI-Standardiste bilingue, comptable</v>
      </c>
      <c r="B20" s="18" t="s">
        <v>71</v>
      </c>
      <c r="C20" s="18" t="s">
        <v>28</v>
      </c>
      <c r="D20" s="19">
        <v>1.91</v>
      </c>
      <c r="E20" s="19">
        <v>1.89</v>
      </c>
      <c r="F20" s="59"/>
      <c r="H20" t="s">
        <v>61</v>
      </c>
      <c r="I20" s="46">
        <f>DATE($I$11,11,1)</f>
        <v>43405</v>
      </c>
      <c r="J20">
        <f t="shared" si="1"/>
        <v>44</v>
      </c>
      <c r="K20">
        <f t="shared" si="2"/>
        <v>1</v>
      </c>
    </row>
    <row r="21" spans="1:11" x14ac:dyDescent="0.25">
      <c r="A21" s="18" t="str">
        <f t="shared" si="0"/>
        <v>LI-Cadre</v>
      </c>
      <c r="B21" s="18" t="s">
        <v>71</v>
      </c>
      <c r="C21" s="18" t="s">
        <v>29</v>
      </c>
      <c r="D21" s="19">
        <v>2.0499999999999998</v>
      </c>
      <c r="E21" s="19">
        <v>1.96</v>
      </c>
      <c r="F21" s="60"/>
      <c r="H21" t="s">
        <v>58</v>
      </c>
      <c r="I21" s="46">
        <f>DATE($I$11,11,11)</f>
        <v>43415</v>
      </c>
      <c r="J21">
        <f t="shared" si="1"/>
        <v>46</v>
      </c>
      <c r="K21">
        <f t="shared" si="2"/>
        <v>1</v>
      </c>
    </row>
    <row r="22" spans="1:11" ht="30" x14ac:dyDescent="0.25">
      <c r="A22" s="20" t="str">
        <f t="shared" si="0"/>
        <v>S-Personnel peu qualifié</v>
      </c>
      <c r="B22" s="20" t="s">
        <v>72</v>
      </c>
      <c r="C22" s="20" t="s">
        <v>25</v>
      </c>
      <c r="D22" s="21">
        <v>1.78</v>
      </c>
      <c r="E22" s="21">
        <v>1.78</v>
      </c>
      <c r="F22" s="39" t="s">
        <v>31</v>
      </c>
      <c r="H22" t="s">
        <v>62</v>
      </c>
      <c r="I22" s="46">
        <f>DATE($I$11,12,25)</f>
        <v>43459</v>
      </c>
      <c r="J22">
        <f t="shared" si="1"/>
        <v>52</v>
      </c>
      <c r="K22">
        <f t="shared" si="2"/>
        <v>1</v>
      </c>
    </row>
    <row r="23" spans="1:11" x14ac:dyDescent="0.25">
      <c r="A23" s="20" t="str">
        <f t="shared" si="0"/>
        <v>S-Standardiste, aide comptable</v>
      </c>
      <c r="B23" s="20" t="s">
        <v>72</v>
      </c>
      <c r="C23" s="20" t="s">
        <v>26</v>
      </c>
      <c r="D23" s="21">
        <v>1.78</v>
      </c>
      <c r="E23" s="21">
        <v>1.78</v>
      </c>
      <c r="F23" s="40"/>
    </row>
    <row r="24" spans="1:11" x14ac:dyDescent="0.25">
      <c r="A24" s="20" t="str">
        <f t="shared" si="0"/>
        <v>S-Personnel qualifié</v>
      </c>
      <c r="B24" s="20" t="s">
        <v>72</v>
      </c>
      <c r="C24" s="20" t="s">
        <v>27</v>
      </c>
      <c r="D24" s="21">
        <v>1.83</v>
      </c>
      <c r="E24" s="21">
        <v>1.81</v>
      </c>
      <c r="F24" s="40"/>
    </row>
    <row r="25" spans="1:11" x14ac:dyDescent="0.25">
      <c r="A25" s="20" t="str">
        <f t="shared" si="0"/>
        <v>S-Standardiste bilingue, comptable</v>
      </c>
      <c r="B25" s="20" t="s">
        <v>72</v>
      </c>
      <c r="C25" s="20" t="s">
        <v>28</v>
      </c>
      <c r="D25" s="21">
        <v>1.83</v>
      </c>
      <c r="E25" s="21">
        <v>1.81</v>
      </c>
      <c r="F25" s="40"/>
    </row>
    <row r="26" spans="1:11" x14ac:dyDescent="0.25">
      <c r="A26" s="20" t="str">
        <f t="shared" si="0"/>
        <v>S-Cadre</v>
      </c>
      <c r="B26" s="20" t="s">
        <v>72</v>
      </c>
      <c r="C26" s="20" t="s">
        <v>29</v>
      </c>
      <c r="D26" s="21">
        <v>1.95</v>
      </c>
      <c r="E26" s="21">
        <v>1.87</v>
      </c>
      <c r="F26" s="41"/>
    </row>
    <row r="27" spans="1:11" x14ac:dyDescent="0.25">
      <c r="A27" s="22" t="str">
        <f t="shared" si="0"/>
        <v>M-Personnel peu qualifié</v>
      </c>
      <c r="B27" s="22" t="s">
        <v>73</v>
      </c>
      <c r="C27" s="22" t="s">
        <v>25</v>
      </c>
      <c r="D27" s="23">
        <v>1.82</v>
      </c>
      <c r="E27" s="23">
        <v>1.82</v>
      </c>
      <c r="F27" s="61" t="s">
        <v>30</v>
      </c>
    </row>
    <row r="28" spans="1:11" x14ac:dyDescent="0.25">
      <c r="A28" s="22" t="str">
        <f t="shared" si="0"/>
        <v>M-Standardiste, aide comptable</v>
      </c>
      <c r="B28" s="22" t="s">
        <v>73</v>
      </c>
      <c r="C28" s="22" t="s">
        <v>26</v>
      </c>
      <c r="D28" s="23">
        <v>1.82</v>
      </c>
      <c r="E28" s="23">
        <v>1.82</v>
      </c>
      <c r="F28" s="62"/>
    </row>
    <row r="29" spans="1:11" x14ac:dyDescent="0.25">
      <c r="A29" s="22" t="str">
        <f t="shared" si="0"/>
        <v>M-Personnel qualifié</v>
      </c>
      <c r="B29" s="22" t="s">
        <v>73</v>
      </c>
      <c r="C29" s="22" t="s">
        <v>27</v>
      </c>
      <c r="D29" s="23">
        <v>1.91</v>
      </c>
      <c r="E29" s="23">
        <v>1.89</v>
      </c>
      <c r="F29" s="62"/>
    </row>
    <row r="30" spans="1:11" x14ac:dyDescent="0.25">
      <c r="A30" s="22" t="str">
        <f t="shared" si="0"/>
        <v>M-Standardiste bilingue, comptable</v>
      </c>
      <c r="B30" s="22" t="s">
        <v>73</v>
      </c>
      <c r="C30" s="22" t="s">
        <v>28</v>
      </c>
      <c r="D30" s="23">
        <v>1.91</v>
      </c>
      <c r="E30" s="23">
        <v>1.89</v>
      </c>
      <c r="F30" s="62"/>
    </row>
    <row r="31" spans="1:11" x14ac:dyDescent="0.25">
      <c r="A31" s="22" t="str">
        <f t="shared" si="0"/>
        <v>M-Cadre</v>
      </c>
      <c r="B31" s="22" t="s">
        <v>73</v>
      </c>
      <c r="C31" s="22" t="s">
        <v>29</v>
      </c>
      <c r="D31" s="23">
        <v>2.0499999999999998</v>
      </c>
      <c r="E31" s="23">
        <v>1.95</v>
      </c>
      <c r="F31" s="63"/>
    </row>
  </sheetData>
  <mergeCells count="5">
    <mergeCell ref="F2:F6"/>
    <mergeCell ref="F7:F11"/>
    <mergeCell ref="F12:F16"/>
    <mergeCell ref="F17:F21"/>
    <mergeCell ref="F27:F3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FB07AD-6092-4953-80D9-9867F09E03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Personne 1</vt:lpstr>
      <vt:lpstr>Personne 2</vt:lpstr>
      <vt:lpstr>Suivi facturation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Salomé Paillet</dc:creator>
  <cp:lastModifiedBy>Salomé Paillet</cp:lastModifiedBy>
  <dcterms:created xsi:type="dcterms:W3CDTF">2018-07-16T14:42:18Z</dcterms:created>
  <dcterms:modified xsi:type="dcterms:W3CDTF">2018-07-19T08:13:27Z</dcterms:modified>
</cp:coreProperties>
</file>