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ss\Desktop\"/>
    </mc:Choice>
  </mc:AlternateContent>
  <xr:revisionPtr revIDLastSave="0" documentId="10_ncr:8100000_{DAE50EF6-A18C-44B3-8625-7C8AC4CEDCA4}" xr6:coauthVersionLast="34" xr6:coauthVersionMax="34" xr10:uidLastSave="{00000000-0000-0000-0000-000000000000}"/>
  <bookViews>
    <workbookView xWindow="0" yWindow="0" windowWidth="28800" windowHeight="12225" firstSheet="2" activeTab="6" xr2:uid="{DEDCFF69-96B2-4FBC-91A1-C19BE639B188}"/>
  </bookViews>
  <sheets>
    <sheet name="QUESTIONNAIRE" sheetId="16" r:id="rId1"/>
    <sheet name="PAGE DE GARDE" sheetId="4" r:id="rId2"/>
    <sheet name="RELEVER" sheetId="1" r:id="rId3"/>
    <sheet name="FOURNITURE" sheetId="2" r:id="rId4"/>
    <sheet name="PROTECTION" sheetId="3" r:id="rId5"/>
    <sheet name="BASE" sheetId="10" r:id="rId6"/>
    <sheet name="ME10" sheetId="32" r:id="rId7"/>
  </sheets>
  <definedNames>
    <definedName name="_xlnm.Print_Area" localSheetId="2">RELEVER!$A$1:$U$34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9" i="32" l="1"/>
  <c r="D48" i="32"/>
  <c r="C48" i="32"/>
  <c r="D47" i="32"/>
  <c r="C47" i="32"/>
  <c r="C46" i="32"/>
  <c r="C45" i="32"/>
  <c r="C44" i="32"/>
  <c r="C43" i="32"/>
  <c r="D42" i="32"/>
  <c r="D41" i="32"/>
  <c r="E37" i="32"/>
  <c r="D36" i="32"/>
  <c r="C36" i="32"/>
  <c r="D35" i="32"/>
  <c r="C34" i="32"/>
  <c r="E30" i="32"/>
  <c r="F29" i="32"/>
  <c r="E29" i="32"/>
  <c r="E27" i="32"/>
  <c r="C21" i="32"/>
  <c r="C20" i="32"/>
  <c r="E15" i="32"/>
  <c r="C15" i="32"/>
  <c r="E13" i="32"/>
  <c r="C11" i="32"/>
  <c r="C9" i="32"/>
  <c r="C7" i="32"/>
  <c r="C13" i="32" s="1"/>
  <c r="C2" i="32"/>
  <c r="C45" i="10"/>
  <c r="C46" i="10"/>
  <c r="C44" i="10"/>
  <c r="D42" i="10"/>
  <c r="D41" i="10"/>
  <c r="C43" i="10"/>
  <c r="AE3" i="2" l="1"/>
  <c r="AE4" i="2"/>
  <c r="AE5" i="2"/>
  <c r="AE6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2" i="2"/>
  <c r="L16" i="1"/>
  <c r="D36" i="10"/>
  <c r="C36" i="10"/>
  <c r="E49" i="10"/>
  <c r="D48" i="10"/>
  <c r="D47" i="10"/>
  <c r="C48" i="10"/>
  <c r="C47" i="10"/>
  <c r="D35" i="10"/>
  <c r="C34" i="10"/>
  <c r="F29" i="10"/>
  <c r="F37" i="10"/>
  <c r="E37" i="10"/>
  <c r="E30" i="10"/>
  <c r="E29" i="10"/>
  <c r="E27" i="10"/>
  <c r="C21" i="10"/>
  <c r="C20" i="10"/>
  <c r="E15" i="10"/>
  <c r="E13" i="10"/>
  <c r="C15" i="10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L2" i="1"/>
  <c r="K2" i="1"/>
  <c r="C7" i="10"/>
  <c r="C13" i="10" s="1"/>
  <c r="C9" i="10" l="1"/>
  <c r="C2" i="10" l="1"/>
  <c r="A3" i="3"/>
  <c r="O3" i="3"/>
  <c r="Q3" i="3"/>
  <c r="F3" i="3"/>
  <c r="H3" i="3"/>
  <c r="J3" i="3" s="1"/>
  <c r="AD33" i="2" l="1"/>
  <c r="H2" i="2" l="1"/>
  <c r="G2" i="2"/>
  <c r="B2" i="2"/>
  <c r="A2" i="2"/>
  <c r="A3" i="2"/>
  <c r="N2" i="1"/>
  <c r="M2" i="1"/>
  <c r="AB2" i="2" l="1"/>
  <c r="C11" i="10"/>
  <c r="B3" i="2" l="1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N13" i="1"/>
  <c r="N11" i="1"/>
  <c r="N3" i="1"/>
  <c r="N4" i="1"/>
  <c r="N5" i="1"/>
  <c r="N6" i="1"/>
  <c r="N7" i="1"/>
  <c r="N8" i="1"/>
  <c r="N9" i="1"/>
  <c r="N10" i="1"/>
  <c r="N12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AB27" i="2" l="1"/>
  <c r="AC27" i="2"/>
  <c r="AB3" i="2"/>
  <c r="AC3" i="2"/>
  <c r="AB34" i="2"/>
  <c r="AC34" i="2"/>
  <c r="AB26" i="2"/>
  <c r="AC26" i="2"/>
  <c r="AB18" i="2"/>
  <c r="AC18" i="2"/>
  <c r="AB10" i="2"/>
  <c r="AC10" i="2"/>
  <c r="AB25" i="2"/>
  <c r="AC25" i="2"/>
  <c r="AB24" i="2"/>
  <c r="AC24" i="2"/>
  <c r="AB16" i="2"/>
  <c r="AC16" i="2"/>
  <c r="AB9" i="2"/>
  <c r="AC9" i="2"/>
  <c r="AB7" i="2"/>
  <c r="AC7" i="2"/>
  <c r="AB30" i="2"/>
  <c r="AC30" i="2"/>
  <c r="AB6" i="2"/>
  <c r="AC6" i="2"/>
  <c r="AB33" i="2"/>
  <c r="AC33" i="2"/>
  <c r="AB32" i="2"/>
  <c r="AC32" i="2"/>
  <c r="AB31" i="2"/>
  <c r="AC31" i="2"/>
  <c r="AB17" i="2"/>
  <c r="AC17" i="2"/>
  <c r="AB23" i="2"/>
  <c r="AC23" i="2"/>
  <c r="AB29" i="2"/>
  <c r="AC29" i="2"/>
  <c r="AB28" i="2"/>
  <c r="AC28" i="2"/>
  <c r="AB4" i="2"/>
  <c r="AC4" i="2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H4" i="3"/>
  <c r="J4" i="3" s="1"/>
  <c r="H5" i="3"/>
  <c r="J5" i="3" s="1"/>
  <c r="H6" i="3"/>
  <c r="J6" i="3" s="1"/>
  <c r="H7" i="3"/>
  <c r="J7" i="3" s="1"/>
  <c r="H8" i="3"/>
  <c r="J8" i="3" s="1"/>
  <c r="H9" i="3"/>
  <c r="J9" i="3" s="1"/>
  <c r="H10" i="3"/>
  <c r="J10" i="3" s="1"/>
  <c r="H11" i="3"/>
  <c r="J11" i="3" s="1"/>
  <c r="H12" i="3"/>
  <c r="J12" i="3" s="1"/>
  <c r="H13" i="3"/>
  <c r="J13" i="3" s="1"/>
  <c r="H14" i="3"/>
  <c r="J14" i="3" s="1"/>
  <c r="H15" i="3"/>
  <c r="J15" i="3" s="1"/>
  <c r="H16" i="3"/>
  <c r="J16" i="3" s="1"/>
  <c r="H17" i="3"/>
  <c r="J17" i="3" s="1"/>
  <c r="H18" i="3"/>
  <c r="J18" i="3" s="1"/>
  <c r="H19" i="3"/>
  <c r="J19" i="3" s="1"/>
  <c r="H20" i="3"/>
  <c r="J20" i="3" s="1"/>
  <c r="H21" i="3"/>
  <c r="J21" i="3" s="1"/>
  <c r="H22" i="3"/>
  <c r="J22" i="3" s="1"/>
  <c r="H23" i="3"/>
  <c r="J23" i="3" s="1"/>
  <c r="H24" i="3"/>
  <c r="J24" i="3" s="1"/>
  <c r="H25" i="3"/>
  <c r="J25" i="3" s="1"/>
  <c r="H26" i="3"/>
  <c r="J26" i="3" s="1"/>
  <c r="H27" i="3"/>
  <c r="J27" i="3" s="1"/>
  <c r="H28" i="3"/>
  <c r="J28" i="3" s="1"/>
  <c r="H29" i="3"/>
  <c r="J29" i="3" s="1"/>
  <c r="H30" i="3"/>
  <c r="J30" i="3" s="1"/>
  <c r="H31" i="3"/>
  <c r="J31" i="3" s="1"/>
  <c r="H32" i="3"/>
  <c r="J32" i="3" s="1"/>
  <c r="H33" i="3"/>
  <c r="J33" i="3" s="1"/>
  <c r="O4" i="3"/>
  <c r="T4" i="3" s="1"/>
  <c r="O5" i="3"/>
  <c r="T5" i="3" s="1"/>
  <c r="O6" i="3"/>
  <c r="T6" i="3" s="1"/>
  <c r="O7" i="3"/>
  <c r="T7" i="3" s="1"/>
  <c r="O8" i="3"/>
  <c r="T8" i="3" s="1"/>
  <c r="O9" i="3"/>
  <c r="T9" i="3" s="1"/>
  <c r="O10" i="3"/>
  <c r="T10" i="3" s="1"/>
  <c r="O11" i="3"/>
  <c r="T11" i="3" s="1"/>
  <c r="O12" i="3"/>
  <c r="T12" i="3" s="1"/>
  <c r="O13" i="3"/>
  <c r="T13" i="3" s="1"/>
  <c r="O14" i="3"/>
  <c r="T14" i="3" s="1"/>
  <c r="O15" i="3"/>
  <c r="T15" i="3" s="1"/>
  <c r="O16" i="3"/>
  <c r="T16" i="3" s="1"/>
  <c r="O17" i="3"/>
  <c r="T17" i="3" s="1"/>
  <c r="O18" i="3"/>
  <c r="T18" i="3" s="1"/>
  <c r="O19" i="3"/>
  <c r="T19" i="3" s="1"/>
  <c r="O20" i="3"/>
  <c r="T20" i="3" s="1"/>
  <c r="O21" i="3"/>
  <c r="T21" i="3" s="1"/>
  <c r="O22" i="3"/>
  <c r="T22" i="3" s="1"/>
  <c r="O23" i="3"/>
  <c r="T23" i="3" s="1"/>
  <c r="O24" i="3"/>
  <c r="T24" i="3" s="1"/>
  <c r="O25" i="3"/>
  <c r="T25" i="3" s="1"/>
  <c r="O26" i="3"/>
  <c r="T26" i="3" s="1"/>
  <c r="O27" i="3"/>
  <c r="T27" i="3" s="1"/>
  <c r="O28" i="3"/>
  <c r="T28" i="3" s="1"/>
  <c r="O29" i="3"/>
  <c r="T29" i="3" s="1"/>
  <c r="O30" i="3"/>
  <c r="T30" i="3" s="1"/>
  <c r="O31" i="3"/>
  <c r="T31" i="3" s="1"/>
  <c r="O32" i="3"/>
  <c r="T32" i="3" s="1"/>
  <c r="O33" i="3"/>
  <c r="T33" i="3" s="1"/>
  <c r="T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K3" i="3" l="1"/>
  <c r="N3" i="3" s="1"/>
  <c r="K33" i="3"/>
  <c r="N33" i="3" s="1"/>
  <c r="K12" i="3"/>
  <c r="N12" i="3" s="1"/>
  <c r="K13" i="3"/>
  <c r="N13" i="3" s="1"/>
  <c r="K4" i="3"/>
  <c r="N4" i="3" s="1"/>
  <c r="K5" i="3"/>
  <c r="N5" i="3" s="1"/>
  <c r="K6" i="3"/>
  <c r="N6" i="3" s="1"/>
  <c r="K7" i="3"/>
  <c r="N7" i="3" s="1"/>
  <c r="K8" i="3"/>
  <c r="N8" i="3" s="1"/>
  <c r="K9" i="3"/>
  <c r="N9" i="3" s="1"/>
  <c r="K10" i="3"/>
  <c r="N10" i="3" s="1"/>
  <c r="K11" i="3"/>
  <c r="N11" i="3" s="1"/>
  <c r="K14" i="3"/>
  <c r="N14" i="3" s="1"/>
  <c r="K15" i="3"/>
  <c r="N15" i="3" s="1"/>
  <c r="K16" i="3"/>
  <c r="N16" i="3" s="1"/>
  <c r="K17" i="3"/>
  <c r="N17" i="3" s="1"/>
  <c r="K18" i="3"/>
  <c r="N18" i="3" s="1"/>
  <c r="K19" i="3"/>
  <c r="N19" i="3" s="1"/>
  <c r="K20" i="3"/>
  <c r="N20" i="3" s="1"/>
  <c r="K21" i="3"/>
  <c r="N21" i="3" s="1"/>
  <c r="K22" i="3"/>
  <c r="N22" i="3" s="1"/>
  <c r="K23" i="3"/>
  <c r="N23" i="3" s="1"/>
  <c r="K24" i="3"/>
  <c r="N24" i="3" s="1"/>
  <c r="K25" i="3"/>
  <c r="N25" i="3" s="1"/>
  <c r="K26" i="3"/>
  <c r="N26" i="3" s="1"/>
  <c r="K27" i="3"/>
  <c r="N27" i="3" s="1"/>
  <c r="K28" i="3"/>
  <c r="N28" i="3" s="1"/>
  <c r="K29" i="3"/>
  <c r="N29" i="3" s="1"/>
  <c r="K30" i="3"/>
  <c r="N30" i="3" s="1"/>
  <c r="K31" i="3"/>
  <c r="N31" i="3" s="1"/>
  <c r="K32" i="3"/>
  <c r="N32" i="3" s="1"/>
  <c r="S4" i="3" l="1"/>
  <c r="V4" i="3" s="1"/>
  <c r="S5" i="3"/>
  <c r="V5" i="3" s="1"/>
  <c r="S6" i="3"/>
  <c r="S7" i="3"/>
  <c r="V7" i="3" s="1"/>
  <c r="S8" i="3"/>
  <c r="V8" i="3" s="1"/>
  <c r="S9" i="3"/>
  <c r="S10" i="3"/>
  <c r="S11" i="3"/>
  <c r="V11" i="3" s="1"/>
  <c r="S12" i="3"/>
  <c r="V12" i="3" s="1"/>
  <c r="S13" i="3"/>
  <c r="S14" i="3"/>
  <c r="V14" i="3" s="1"/>
  <c r="S15" i="3"/>
  <c r="V15" i="3" s="1"/>
  <c r="S16" i="3"/>
  <c r="S17" i="3"/>
  <c r="S18" i="3"/>
  <c r="S19" i="3"/>
  <c r="S20" i="3"/>
  <c r="V20" i="3" s="1"/>
  <c r="S21" i="3"/>
  <c r="S22" i="3"/>
  <c r="V22" i="3" s="1"/>
  <c r="S23" i="3"/>
  <c r="V23" i="3" s="1"/>
  <c r="S24" i="3"/>
  <c r="S25" i="3"/>
  <c r="S26" i="3"/>
  <c r="V26" i="3" s="1"/>
  <c r="S27" i="3"/>
  <c r="S28" i="3"/>
  <c r="V28" i="3" s="1"/>
  <c r="S29" i="3"/>
  <c r="S30" i="3"/>
  <c r="V30" i="3" s="1"/>
  <c r="S31" i="3"/>
  <c r="V31" i="3" s="1"/>
  <c r="S32" i="3"/>
  <c r="V32" i="3" s="1"/>
  <c r="S33" i="3"/>
  <c r="S3" i="3"/>
  <c r="V3" i="3" s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" i="3"/>
  <c r="U24" i="3" l="1"/>
  <c r="V24" i="3"/>
  <c r="W24" i="3" s="1"/>
  <c r="U16" i="3"/>
  <c r="V16" i="3"/>
  <c r="W16" i="3" s="1"/>
  <c r="U29" i="3"/>
  <c r="V29" i="3"/>
  <c r="W29" i="3" s="1"/>
  <c r="U19" i="3"/>
  <c r="V19" i="3"/>
  <c r="W19" i="3" s="1"/>
  <c r="U18" i="3"/>
  <c r="V18" i="3"/>
  <c r="W18" i="3" s="1"/>
  <c r="U10" i="3"/>
  <c r="V10" i="3"/>
  <c r="W10" i="3" s="1"/>
  <c r="U6" i="3"/>
  <c r="V6" i="3"/>
  <c r="W6" i="3" s="1"/>
  <c r="U21" i="3"/>
  <c r="V21" i="3"/>
  <c r="W21" i="3" s="1"/>
  <c r="U13" i="3"/>
  <c r="V13" i="3"/>
  <c r="W13" i="3" s="1"/>
  <c r="U27" i="3"/>
  <c r="V27" i="3"/>
  <c r="W27" i="3" s="1"/>
  <c r="U33" i="3"/>
  <c r="V33" i="3"/>
  <c r="W33" i="3" s="1"/>
  <c r="U25" i="3"/>
  <c r="V25" i="3"/>
  <c r="W25" i="3" s="1"/>
  <c r="U17" i="3"/>
  <c r="V17" i="3"/>
  <c r="W17" i="3" s="1"/>
  <c r="U9" i="3"/>
  <c r="V9" i="3"/>
  <c r="W9" i="3" s="1"/>
  <c r="W14" i="3"/>
  <c r="U14" i="3"/>
  <c r="W5" i="3"/>
  <c r="U5" i="3"/>
  <c r="W22" i="3"/>
  <c r="U22" i="3"/>
  <c r="W30" i="3"/>
  <c r="U30" i="3"/>
  <c r="W32" i="3"/>
  <c r="U32" i="3"/>
  <c r="U8" i="3"/>
  <c r="W8" i="3"/>
  <c r="U31" i="3"/>
  <c r="W31" i="3"/>
  <c r="W28" i="3"/>
  <c r="U28" i="3"/>
  <c r="W20" i="3"/>
  <c r="U20" i="3"/>
  <c r="W12" i="3"/>
  <c r="U12" i="3"/>
  <c r="W4" i="3"/>
  <c r="U4" i="3"/>
  <c r="U23" i="3"/>
  <c r="W23" i="3"/>
  <c r="U7" i="3"/>
  <c r="W7" i="3"/>
  <c r="W11" i="3"/>
  <c r="U11" i="3"/>
  <c r="U15" i="3"/>
  <c r="W15" i="3"/>
  <c r="W3" i="3"/>
  <c r="U3" i="3"/>
  <c r="W26" i="3"/>
  <c r="U26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L33" i="2" l="1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J34" i="2"/>
  <c r="P34" i="2" s="1"/>
  <c r="H34" i="2"/>
  <c r="M34" i="2" s="1"/>
  <c r="G34" i="2"/>
  <c r="J33" i="2"/>
  <c r="P33" i="2" s="1"/>
  <c r="H33" i="2"/>
  <c r="M33" i="2" s="1"/>
  <c r="U33" i="2" s="1"/>
  <c r="X33" i="2" s="1"/>
  <c r="J32" i="2"/>
  <c r="P32" i="2" s="1"/>
  <c r="H32" i="2"/>
  <c r="M32" i="2" s="1"/>
  <c r="G32" i="2"/>
  <c r="AD32" i="2" s="1"/>
  <c r="J31" i="2"/>
  <c r="P31" i="2" s="1"/>
  <c r="H31" i="2"/>
  <c r="M31" i="2" s="1"/>
  <c r="G31" i="2"/>
  <c r="J30" i="2"/>
  <c r="P30" i="2" s="1"/>
  <c r="H30" i="2"/>
  <c r="M30" i="2" s="1"/>
  <c r="G30" i="2"/>
  <c r="J29" i="2"/>
  <c r="P29" i="2" s="1"/>
  <c r="H29" i="2"/>
  <c r="M29" i="2" s="1"/>
  <c r="G29" i="2"/>
  <c r="AD29" i="2" s="1"/>
  <c r="J28" i="2"/>
  <c r="P28" i="2" s="1"/>
  <c r="H28" i="2"/>
  <c r="M28" i="2" s="1"/>
  <c r="G28" i="2"/>
  <c r="AD28" i="2" s="1"/>
  <c r="J27" i="2"/>
  <c r="P27" i="2" s="1"/>
  <c r="H27" i="2"/>
  <c r="M27" i="2" s="1"/>
  <c r="G27" i="2"/>
  <c r="J26" i="2"/>
  <c r="P26" i="2" s="1"/>
  <c r="H26" i="2"/>
  <c r="M26" i="2" s="1"/>
  <c r="G26" i="2"/>
  <c r="J25" i="2"/>
  <c r="P25" i="2" s="1"/>
  <c r="H25" i="2"/>
  <c r="M25" i="2" s="1"/>
  <c r="G25" i="2"/>
  <c r="AD25" i="2" s="1"/>
  <c r="J24" i="2"/>
  <c r="P24" i="2" s="1"/>
  <c r="H24" i="2"/>
  <c r="M24" i="2" s="1"/>
  <c r="G24" i="2"/>
  <c r="J23" i="2"/>
  <c r="H23" i="2"/>
  <c r="M23" i="2" s="1"/>
  <c r="G23" i="2"/>
  <c r="J22" i="2"/>
  <c r="P22" i="2" s="1"/>
  <c r="H22" i="2"/>
  <c r="G22" i="2"/>
  <c r="J21" i="2"/>
  <c r="P21" i="2" s="1"/>
  <c r="H21" i="2"/>
  <c r="G21" i="2"/>
  <c r="J20" i="2"/>
  <c r="H20" i="2"/>
  <c r="G20" i="2"/>
  <c r="J19" i="2"/>
  <c r="P19" i="2" s="1"/>
  <c r="H19" i="2"/>
  <c r="G19" i="2"/>
  <c r="J18" i="2"/>
  <c r="P18" i="2" s="1"/>
  <c r="H18" i="2"/>
  <c r="M18" i="2" s="1"/>
  <c r="G18" i="2"/>
  <c r="AD18" i="2" s="1"/>
  <c r="J17" i="2"/>
  <c r="H17" i="2"/>
  <c r="M17" i="2" s="1"/>
  <c r="G17" i="2"/>
  <c r="J16" i="2"/>
  <c r="H16" i="2"/>
  <c r="M16" i="2" s="1"/>
  <c r="G16" i="2"/>
  <c r="J15" i="2"/>
  <c r="P15" i="2" s="1"/>
  <c r="H15" i="2"/>
  <c r="G15" i="2"/>
  <c r="J14" i="2"/>
  <c r="P14" i="2" s="1"/>
  <c r="H14" i="2"/>
  <c r="G14" i="2"/>
  <c r="J13" i="2"/>
  <c r="P13" i="2" s="1"/>
  <c r="H13" i="2"/>
  <c r="AB13" i="2" s="1"/>
  <c r="G13" i="2"/>
  <c r="J12" i="2"/>
  <c r="P12" i="2" s="1"/>
  <c r="H12" i="2"/>
  <c r="G12" i="2"/>
  <c r="J11" i="2"/>
  <c r="P11" i="2" s="1"/>
  <c r="H11" i="2"/>
  <c r="AB11" i="2" s="1"/>
  <c r="G11" i="2"/>
  <c r="J10" i="2"/>
  <c r="H10" i="2"/>
  <c r="M10" i="2" s="1"/>
  <c r="G10" i="2"/>
  <c r="J9" i="2"/>
  <c r="H9" i="2"/>
  <c r="M9" i="2" s="1"/>
  <c r="G9" i="2"/>
  <c r="J8" i="2"/>
  <c r="P8" i="2" s="1"/>
  <c r="H8" i="2"/>
  <c r="G8" i="2"/>
  <c r="J7" i="2"/>
  <c r="H7" i="2"/>
  <c r="M7" i="2" s="1"/>
  <c r="G7" i="2"/>
  <c r="J6" i="2"/>
  <c r="H6" i="2"/>
  <c r="M6" i="2" s="1"/>
  <c r="G6" i="2"/>
  <c r="J5" i="2"/>
  <c r="H5" i="2"/>
  <c r="AB5" i="2" s="1"/>
  <c r="G5" i="2"/>
  <c r="P4" i="2"/>
  <c r="H4" i="2"/>
  <c r="G4" i="2"/>
  <c r="J3" i="2"/>
  <c r="H3" i="2"/>
  <c r="M3" i="2" s="1"/>
  <c r="G3" i="2"/>
  <c r="P2" i="2"/>
  <c r="M2" i="2"/>
  <c r="L10" i="2" l="1"/>
  <c r="T10" i="2" s="1"/>
  <c r="AD10" i="2"/>
  <c r="L16" i="2"/>
  <c r="N16" i="2" s="1"/>
  <c r="R16" i="2" s="1"/>
  <c r="AD16" i="2"/>
  <c r="L24" i="2"/>
  <c r="U24" i="2" s="1"/>
  <c r="X24" i="2" s="1"/>
  <c r="AD24" i="2"/>
  <c r="L3" i="2"/>
  <c r="T3" i="2" s="1"/>
  <c r="AD3" i="2"/>
  <c r="L27" i="2"/>
  <c r="T27" i="2" s="1"/>
  <c r="AD27" i="2"/>
  <c r="L6" i="2"/>
  <c r="N6" i="2" s="1"/>
  <c r="R6" i="2" s="1"/>
  <c r="AD6" i="2"/>
  <c r="L30" i="2"/>
  <c r="T30" i="2" s="1"/>
  <c r="AD30" i="2"/>
  <c r="L26" i="2"/>
  <c r="T26" i="2" s="1"/>
  <c r="AD26" i="2"/>
  <c r="L9" i="2"/>
  <c r="AD9" i="2"/>
  <c r="L17" i="2"/>
  <c r="T17" i="2" s="1"/>
  <c r="AD17" i="2"/>
  <c r="L4" i="2"/>
  <c r="AD4" i="2"/>
  <c r="L7" i="2"/>
  <c r="U7" i="2" s="1"/>
  <c r="X7" i="2" s="1"/>
  <c r="AD7" i="2"/>
  <c r="L23" i="2"/>
  <c r="AD23" i="2"/>
  <c r="L31" i="2"/>
  <c r="N31" i="2" s="1"/>
  <c r="R31" i="2" s="1"/>
  <c r="AD31" i="2"/>
  <c r="L34" i="2"/>
  <c r="U34" i="2" s="1"/>
  <c r="X34" i="2" s="1"/>
  <c r="AD34" i="2"/>
  <c r="M8" i="2"/>
  <c r="AB8" i="2"/>
  <c r="M19" i="2"/>
  <c r="AB19" i="2"/>
  <c r="M14" i="2"/>
  <c r="AB14" i="2"/>
  <c r="M22" i="2"/>
  <c r="AB22" i="2"/>
  <c r="M21" i="2"/>
  <c r="AB21" i="2"/>
  <c r="M12" i="2"/>
  <c r="AB12" i="2"/>
  <c r="M20" i="2"/>
  <c r="AB20" i="2"/>
  <c r="M15" i="2"/>
  <c r="AB15" i="2"/>
  <c r="P16" i="2"/>
  <c r="P23" i="2"/>
  <c r="I22" i="2"/>
  <c r="Z22" i="2" s="1"/>
  <c r="Y22" i="2"/>
  <c r="I2" i="2"/>
  <c r="Y2" i="2"/>
  <c r="U10" i="2"/>
  <c r="X10" i="2" s="1"/>
  <c r="I20" i="2"/>
  <c r="Z20" i="2" s="1"/>
  <c r="Y20" i="2"/>
  <c r="L25" i="2"/>
  <c r="I5" i="2"/>
  <c r="Z5" i="2" s="1"/>
  <c r="Y5" i="2"/>
  <c r="I13" i="2"/>
  <c r="Z13" i="2" s="1"/>
  <c r="Y13" i="2"/>
  <c r="P17" i="2"/>
  <c r="L28" i="2"/>
  <c r="N28" i="2" s="1"/>
  <c r="R28" i="2" s="1"/>
  <c r="Y28" i="2"/>
  <c r="I15" i="2"/>
  <c r="Z15" i="2" s="1"/>
  <c r="Y15" i="2"/>
  <c r="M5" i="2"/>
  <c r="I8" i="2"/>
  <c r="Z8" i="2" s="1"/>
  <c r="Y8" i="2"/>
  <c r="M13" i="2"/>
  <c r="Y18" i="2"/>
  <c r="L18" i="2"/>
  <c r="N18" i="2" s="1"/>
  <c r="R18" i="2" s="1"/>
  <c r="U23" i="2"/>
  <c r="X23" i="2" s="1"/>
  <c r="T23" i="2"/>
  <c r="U31" i="2"/>
  <c r="X31" i="2" s="1"/>
  <c r="I11" i="2"/>
  <c r="Z11" i="2" s="1"/>
  <c r="Y11" i="2"/>
  <c r="U16" i="2"/>
  <c r="X16" i="2" s="1"/>
  <c r="Y21" i="2"/>
  <c r="T6" i="2"/>
  <c r="U6" i="2"/>
  <c r="X6" i="2" s="1"/>
  <c r="M11" i="2"/>
  <c r="L29" i="2"/>
  <c r="Y32" i="2"/>
  <c r="L32" i="2"/>
  <c r="M4" i="2"/>
  <c r="T9" i="2"/>
  <c r="U9" i="2"/>
  <c r="X9" i="2" s="1"/>
  <c r="I14" i="2"/>
  <c r="Z14" i="2" s="1"/>
  <c r="Y14" i="2"/>
  <c r="I19" i="2"/>
  <c r="Z19" i="2" s="1"/>
  <c r="Y19" i="2"/>
  <c r="I21" i="2"/>
  <c r="Z21" i="2" s="1"/>
  <c r="I12" i="2"/>
  <c r="Z12" i="2" s="1"/>
  <c r="Y12" i="2"/>
  <c r="P7" i="2"/>
  <c r="P10" i="2"/>
  <c r="N9" i="2"/>
  <c r="R9" i="2" s="1"/>
  <c r="N27" i="2"/>
  <c r="R27" i="2" s="1"/>
  <c r="P6" i="2"/>
  <c r="P3" i="2"/>
  <c r="P9" i="2"/>
  <c r="N17" i="2"/>
  <c r="R17" i="2" s="1"/>
  <c r="N23" i="2"/>
  <c r="R23" i="2" s="1"/>
  <c r="N33" i="2"/>
  <c r="R33" i="2" s="1"/>
  <c r="N34" i="2"/>
  <c r="R34" i="2" s="1"/>
  <c r="U26" i="2" l="1"/>
  <c r="X26" i="2" s="1"/>
  <c r="L15" i="2"/>
  <c r="N15" i="2" s="1"/>
  <c r="R15" i="2" s="1"/>
  <c r="T16" i="2"/>
  <c r="U17" i="2"/>
  <c r="X17" i="2" s="1"/>
  <c r="T7" i="2"/>
  <c r="AD5" i="2"/>
  <c r="AC5" i="2" s="1"/>
  <c r="N26" i="2"/>
  <c r="R26" i="2" s="1"/>
  <c r="N10" i="2"/>
  <c r="R10" i="2" s="1"/>
  <c r="N24" i="2"/>
  <c r="R24" i="2" s="1"/>
  <c r="U27" i="2"/>
  <c r="X27" i="2" s="1"/>
  <c r="U3" i="2"/>
  <c r="X3" i="2" s="1"/>
  <c r="N3" i="2"/>
  <c r="R3" i="2" s="1"/>
  <c r="AD15" i="2"/>
  <c r="AC15" i="2" s="1"/>
  <c r="N30" i="2"/>
  <c r="R30" i="2" s="1"/>
  <c r="Z2" i="2"/>
  <c r="AD2" i="2"/>
  <c r="AC2" i="2" s="1"/>
  <c r="AD22" i="2"/>
  <c r="AC22" i="2" s="1"/>
  <c r="T24" i="2"/>
  <c r="U30" i="2"/>
  <c r="X30" i="2" s="1"/>
  <c r="AD14" i="2"/>
  <c r="AC14" i="2" s="1"/>
  <c r="N7" i="2"/>
  <c r="R7" i="2" s="1"/>
  <c r="N4" i="2"/>
  <c r="R4" i="2" s="1"/>
  <c r="T31" i="2"/>
  <c r="AD20" i="2"/>
  <c r="AC20" i="2" s="1"/>
  <c r="AD13" i="2"/>
  <c r="AC13" i="2" s="1"/>
  <c r="AD12" i="2"/>
  <c r="AC12" i="2" s="1"/>
  <c r="AD19" i="2"/>
  <c r="AC19" i="2" s="1"/>
  <c r="AD8" i="2"/>
  <c r="AC8" i="2" s="1"/>
  <c r="AD11" i="2"/>
  <c r="AC11" i="2" s="1"/>
  <c r="AD21" i="2"/>
  <c r="AC21" i="2" s="1"/>
  <c r="L22" i="2"/>
  <c r="N22" i="2" s="1"/>
  <c r="R22" i="2" s="1"/>
  <c r="L2" i="2"/>
  <c r="U2" i="2" s="1"/>
  <c r="X2" i="2" s="1"/>
  <c r="P20" i="2"/>
  <c r="L14" i="2"/>
  <c r="N14" i="2" s="1"/>
  <c r="R14" i="2" s="1"/>
  <c r="T4" i="2"/>
  <c r="P5" i="2"/>
  <c r="U4" i="2"/>
  <c r="X4" i="2" s="1"/>
  <c r="L5" i="2"/>
  <c r="N5" i="2" s="1"/>
  <c r="R5" i="2" s="1"/>
  <c r="L19" i="2"/>
  <c r="L12" i="2"/>
  <c r="L11" i="2"/>
  <c r="T18" i="2"/>
  <c r="U18" i="2"/>
  <c r="X18" i="2" s="1"/>
  <c r="U32" i="2"/>
  <c r="X32" i="2" s="1"/>
  <c r="T32" i="2"/>
  <c r="T28" i="2"/>
  <c r="U28" i="2"/>
  <c r="X28" i="2" s="1"/>
  <c r="T25" i="2"/>
  <c r="U25" i="2"/>
  <c r="X25" i="2" s="1"/>
  <c r="U15" i="2"/>
  <c r="X15" i="2" s="1"/>
  <c r="N25" i="2"/>
  <c r="R25" i="2" s="1"/>
  <c r="T29" i="2"/>
  <c r="U29" i="2"/>
  <c r="X29" i="2" s="1"/>
  <c r="L13" i="2"/>
  <c r="L20" i="2"/>
  <c r="N32" i="2"/>
  <c r="R32" i="2" s="1"/>
  <c r="N29" i="2"/>
  <c r="R29" i="2" s="1"/>
  <c r="L21" i="2"/>
  <c r="L8" i="2"/>
  <c r="T22" i="2" l="1"/>
  <c r="T15" i="2"/>
  <c r="U22" i="2"/>
  <c r="X22" i="2" s="1"/>
  <c r="N2" i="2"/>
  <c r="R2" i="2" s="1"/>
  <c r="P35" i="2"/>
  <c r="T2" i="2"/>
  <c r="U5" i="2"/>
  <c r="X5" i="2" s="1"/>
  <c r="T5" i="2"/>
  <c r="U14" i="2"/>
  <c r="X14" i="2" s="1"/>
  <c r="T14" i="2"/>
  <c r="T13" i="2"/>
  <c r="U13" i="2"/>
  <c r="X13" i="2" s="1"/>
  <c r="N13" i="2"/>
  <c r="R13" i="2" s="1"/>
  <c r="U8" i="2"/>
  <c r="X8" i="2" s="1"/>
  <c r="T8" i="2"/>
  <c r="N8" i="2"/>
  <c r="R8" i="2" s="1"/>
  <c r="T21" i="2"/>
  <c r="U21" i="2"/>
  <c r="X21" i="2" s="1"/>
  <c r="N21" i="2"/>
  <c r="R21" i="2" s="1"/>
  <c r="T11" i="2"/>
  <c r="U11" i="2"/>
  <c r="X11" i="2" s="1"/>
  <c r="N11" i="2"/>
  <c r="R11" i="2" s="1"/>
  <c r="T12" i="2"/>
  <c r="U12" i="2"/>
  <c r="X12" i="2" s="1"/>
  <c r="N12" i="2"/>
  <c r="R12" i="2" s="1"/>
  <c r="T19" i="2"/>
  <c r="U19" i="2"/>
  <c r="X19" i="2" s="1"/>
  <c r="N19" i="2"/>
  <c r="R19" i="2" s="1"/>
  <c r="T20" i="2"/>
  <c r="U20" i="2"/>
  <c r="X20" i="2" s="1"/>
  <c r="N20" i="2"/>
  <c r="R20" i="2" s="1"/>
  <c r="R35" i="2" l="1"/>
  <c r="N35" i="2"/>
</calcChain>
</file>

<file path=xl/sharedStrings.xml><?xml version="1.0" encoding="utf-8"?>
<sst xmlns="http://schemas.openxmlformats.org/spreadsheetml/2006/main" count="638" uniqueCount="196">
  <si>
    <t>sens ouverture</t>
  </si>
  <si>
    <t>TYPE</t>
  </si>
  <si>
    <t>Localisation</t>
  </si>
  <si>
    <t>ME01</t>
  </si>
  <si>
    <t>REPERE</t>
  </si>
  <si>
    <t>MENUISERIE</t>
  </si>
  <si>
    <t>ALUMINIUM</t>
  </si>
  <si>
    <t>largeur brut (mm)</t>
  </si>
  <si>
    <t>hauteur brut (mm)</t>
  </si>
  <si>
    <t>Allège (mm)</t>
  </si>
  <si>
    <t>ME02</t>
  </si>
  <si>
    <t>ME03</t>
  </si>
  <si>
    <t>ME04</t>
  </si>
  <si>
    <t>ME05</t>
  </si>
  <si>
    <t>ME06</t>
  </si>
  <si>
    <t>ME07</t>
  </si>
  <si>
    <t>ME08</t>
  </si>
  <si>
    <t>ME09</t>
  </si>
  <si>
    <t>ME10</t>
  </si>
  <si>
    <t>ME11</t>
  </si>
  <si>
    <t>ME12</t>
  </si>
  <si>
    <t>ME13</t>
  </si>
  <si>
    <t>ME14</t>
  </si>
  <si>
    <t>ME15</t>
  </si>
  <si>
    <t>ME16</t>
  </si>
  <si>
    <t>ME17</t>
  </si>
  <si>
    <t>ME18</t>
  </si>
  <si>
    <t>ME19</t>
  </si>
  <si>
    <t>ME20</t>
  </si>
  <si>
    <t>ME21</t>
  </si>
  <si>
    <t>ME22</t>
  </si>
  <si>
    <t>ME23</t>
  </si>
  <si>
    <t>ME24</t>
  </si>
  <si>
    <t>ME25</t>
  </si>
  <si>
    <t>ME26</t>
  </si>
  <si>
    <t>ME27</t>
  </si>
  <si>
    <t>ME28</t>
  </si>
  <si>
    <t>ME29</t>
  </si>
  <si>
    <t>ME30</t>
  </si>
  <si>
    <t>Sous-sol</t>
  </si>
  <si>
    <t>Oscilot-battant</t>
  </si>
  <si>
    <t>Droite</t>
  </si>
  <si>
    <t>non</t>
  </si>
  <si>
    <t>Etage</t>
  </si>
  <si>
    <t>Chambre 7</t>
  </si>
  <si>
    <t>Céllier/Buanderie</t>
  </si>
  <si>
    <t>Rez de Chaussée</t>
  </si>
  <si>
    <t>Hall d'Entrée</t>
  </si>
  <si>
    <t>Gauche</t>
  </si>
  <si>
    <t>Chambre 4</t>
  </si>
  <si>
    <t>oui</t>
  </si>
  <si>
    <t>Couleur</t>
  </si>
  <si>
    <t>Sde 4</t>
  </si>
  <si>
    <t>Sde 3</t>
  </si>
  <si>
    <t>Chambre 3</t>
  </si>
  <si>
    <t>Sde 2</t>
  </si>
  <si>
    <t>Chambre 2</t>
  </si>
  <si>
    <t>Sdb 1</t>
  </si>
  <si>
    <t>Chambre 1</t>
  </si>
  <si>
    <t>Fixe</t>
  </si>
  <si>
    <t>Séjour</t>
  </si>
  <si>
    <t>-</t>
  </si>
  <si>
    <t>Séjour/repas</t>
  </si>
  <si>
    <t>Cuisine</t>
  </si>
  <si>
    <t>Chambre 5</t>
  </si>
  <si>
    <t>Chambre 6</t>
  </si>
  <si>
    <t>Garage</t>
  </si>
  <si>
    <t>Patio</t>
  </si>
  <si>
    <t>Escalier</t>
  </si>
  <si>
    <t>ME31</t>
  </si>
  <si>
    <t>Porte garage</t>
  </si>
  <si>
    <t>b: 3000 h: 3020</t>
  </si>
  <si>
    <t>isolant+placo (mm)</t>
  </si>
  <si>
    <t>Placo (mm)</t>
  </si>
  <si>
    <t>Refoulement</t>
  </si>
  <si>
    <t>NOIR 2100 SABLE</t>
  </si>
  <si>
    <t>Equerres longeur</t>
  </si>
  <si>
    <t xml:space="preserve">Equerre hauteur </t>
  </si>
  <si>
    <t xml:space="preserve">Total </t>
  </si>
  <si>
    <t>Type</t>
  </si>
  <si>
    <t>type</t>
  </si>
  <si>
    <t>clameaux</t>
  </si>
  <si>
    <t>VANTAUX</t>
  </si>
  <si>
    <t>RAILS</t>
  </si>
  <si>
    <t>Galandage</t>
  </si>
  <si>
    <t>fixe</t>
  </si>
  <si>
    <t>ep Montant</t>
  </si>
  <si>
    <t>Coulissant</t>
  </si>
  <si>
    <t>Allege</t>
  </si>
  <si>
    <t>Bande filante (mm)</t>
  </si>
  <si>
    <t>REF</t>
  </si>
  <si>
    <t>Griesser/VR</t>
  </si>
  <si>
    <t>Vis auto-perf 4,8x22</t>
  </si>
  <si>
    <t>IT 18021895-CP14GG</t>
  </si>
  <si>
    <t>Vis auto-perf 6,3x45</t>
  </si>
  <si>
    <t>Goujon 8x91</t>
  </si>
  <si>
    <t>Cheville 8x4</t>
  </si>
  <si>
    <t xml:space="preserve">Eq </t>
  </si>
  <si>
    <t>PG 0189</t>
  </si>
  <si>
    <t>BACS REFOULEMENT</t>
  </si>
  <si>
    <t>DIM BACS</t>
  </si>
  <si>
    <t>bac 1rail</t>
  </si>
  <si>
    <t>bac 1 rail</t>
  </si>
  <si>
    <t>bac 2 rails</t>
  </si>
  <si>
    <t>Bacs 2 rails</t>
  </si>
  <si>
    <t>Bac 2 rails</t>
  </si>
  <si>
    <t>hauteur Polycarbonate 4mm</t>
  </si>
  <si>
    <t>largeur Polycarbonate 4mm</t>
  </si>
  <si>
    <t>protection profil serrure 2mm</t>
  </si>
  <si>
    <t>VIS</t>
  </si>
  <si>
    <t>INTERIEUR</t>
  </si>
  <si>
    <t>EXTERIEUR</t>
  </si>
  <si>
    <t>Profils Vericaux</t>
  </si>
  <si>
    <t>Profils Verticaux</t>
  </si>
  <si>
    <t>Oscilotbattant</t>
  </si>
  <si>
    <t>Profils horizontaux</t>
  </si>
  <si>
    <t>Quantité</t>
  </si>
  <si>
    <t>TOTAL VIS</t>
  </si>
  <si>
    <t>Vis pentur 6,0x50</t>
  </si>
  <si>
    <t>enduit/Pierre (mm)</t>
  </si>
  <si>
    <t>hauteur talons/mfini</t>
  </si>
  <si>
    <t>Griesser/Volet roulant/Screen</t>
  </si>
  <si>
    <t>CHANTIER:</t>
  </si>
  <si>
    <t>MAITRE D'OUVRAGE:</t>
  </si>
  <si>
    <t>MAITRE D'ŒUVRE:</t>
  </si>
  <si>
    <t>NOM</t>
  </si>
  <si>
    <t>RUE</t>
  </si>
  <si>
    <t>VILLE</t>
  </si>
  <si>
    <t>REPERE MENUISERIE:</t>
  </si>
  <si>
    <t>TYPE MENUISERIE:</t>
  </si>
  <si>
    <t>VIS:</t>
  </si>
  <si>
    <t>PROTECTION :</t>
  </si>
  <si>
    <t>Largeur</t>
  </si>
  <si>
    <t>hauteur</t>
  </si>
  <si>
    <t>quantité</t>
  </si>
  <si>
    <t>références</t>
  </si>
  <si>
    <t>POLYGABONATE INT:</t>
  </si>
  <si>
    <t>POLYGABONATE EXT:</t>
  </si>
  <si>
    <t>NOMBRE DE VANTAUX:</t>
  </si>
  <si>
    <t>NOMBRE DE RAILS:</t>
  </si>
  <si>
    <t>x</t>
  </si>
  <si>
    <t>DIMENSIONS BRUT:</t>
  </si>
  <si>
    <t>DIMENSION FINI:</t>
  </si>
  <si>
    <t>Tube acier 5x5</t>
  </si>
  <si>
    <t>Contre plaquet</t>
  </si>
  <si>
    <t>Distance tube acier hors-tout</t>
  </si>
  <si>
    <t>Longueur hors-tout</t>
  </si>
  <si>
    <t>hauteur hors-tout</t>
  </si>
  <si>
    <t>QUESTIONNAIRE DE DEPART CHANTIER</t>
  </si>
  <si>
    <t>EPAISSEUR D'APPUIS:</t>
  </si>
  <si>
    <t>EPAISSEUR ENDUIT:</t>
  </si>
  <si>
    <t>DEBORD ALUMINIUM VUE:</t>
  </si>
  <si>
    <t>ADRESSE:</t>
  </si>
  <si>
    <t>EPAISSEUR PIERRE:</t>
  </si>
  <si>
    <t>DEMANDE PARTICULIERE:</t>
  </si>
  <si>
    <t>VOLET:</t>
  </si>
  <si>
    <t>MOTORISATION:</t>
  </si>
  <si>
    <t>EVACUATION DES EAUX:</t>
  </si>
  <si>
    <t>DORMANT HAUT:</t>
  </si>
  <si>
    <t>SCREEN:</t>
  </si>
  <si>
    <t>NOM/PRENOM:</t>
  </si>
  <si>
    <t>TELEPHONE:</t>
  </si>
  <si>
    <t>MAIL:</t>
  </si>
  <si>
    <t>DORMANT CÔTE:</t>
  </si>
  <si>
    <t>NON DE L'AFFAIRE:</t>
  </si>
  <si>
    <t>CONTRE PLAQUET</t>
  </si>
  <si>
    <t>BANDE FILANTE</t>
  </si>
  <si>
    <t>TUBE ALU 25x25</t>
  </si>
  <si>
    <t>BOIS 25x25</t>
  </si>
  <si>
    <t>CALLE RUPTURE</t>
  </si>
  <si>
    <t>VIS AUTOPERF</t>
  </si>
  <si>
    <t>CLAMEAUX</t>
  </si>
  <si>
    <t>VIS/CHEVILLES</t>
  </si>
  <si>
    <t>EQUERRES BACS</t>
  </si>
  <si>
    <t>BAC REFOULEMENT</t>
  </si>
  <si>
    <t>BAC PASSAGE</t>
  </si>
  <si>
    <t>CONIERES 15x15</t>
  </si>
  <si>
    <t>BACS:</t>
  </si>
  <si>
    <t>FOUNITURES:</t>
  </si>
  <si>
    <t>PLIAGE MONTANT INT:</t>
  </si>
  <si>
    <t>PLIAGE MONTANT EXT:</t>
  </si>
  <si>
    <t>PLIAGE BAS INT:</t>
  </si>
  <si>
    <t>PLIAGE BAS EXT:</t>
  </si>
  <si>
    <t>PLIAGE HAUT INT:</t>
  </si>
  <si>
    <t>PLIAGE HAUT EXT:</t>
  </si>
  <si>
    <t>Largeur fini</t>
  </si>
  <si>
    <t>hauteur fini</t>
  </si>
  <si>
    <t>EQUERRES</t>
  </si>
  <si>
    <t xml:space="preserve">hauteur </t>
  </si>
  <si>
    <t>Quantitée</t>
  </si>
  <si>
    <t>TUBE ALU 40x40</t>
  </si>
  <si>
    <t>PALMIER</t>
  </si>
  <si>
    <t>tube alu 25x25</t>
  </si>
  <si>
    <t>carré bois 25x25 sur hauteur</t>
  </si>
  <si>
    <t>arrés bois 25x25 sur largeur</t>
  </si>
  <si>
    <t>Distance menuiserie /FINI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</si>
</sst>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3" borderId="3" xfId="0" applyFill="1" applyBorder="1"/>
    <xf numFmtId="0" fontId="0" fillId="3" borderId="3" xfId="0" applyFill="1" applyBorder="1" applyAlignment="1">
      <alignment horizontal="right"/>
    </xf>
    <xf numFmtId="0" fontId="0" fillId="3" borderId="6" xfId="0" applyFill="1" applyBorder="1"/>
    <xf numFmtId="0" fontId="0" fillId="3" borderId="0" xfId="0" applyFill="1"/>
    <xf numFmtId="0" fontId="0" fillId="4" borderId="4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4" xfId="0" applyFill="1" applyBorder="1"/>
    <xf numFmtId="0" fontId="0" fillId="4" borderId="4" xfId="0" applyFill="1" applyBorder="1" applyAlignment="1">
      <alignment horizontal="right"/>
    </xf>
    <xf numFmtId="0" fontId="0" fillId="4" borderId="7" xfId="0" applyFill="1" applyBorder="1"/>
    <xf numFmtId="0" fontId="0" fillId="4" borderId="0" xfId="0" applyFill="1"/>
    <xf numFmtId="0" fontId="0" fillId="4" borderId="3" xfId="0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4" borderId="3" xfId="0" applyFill="1" applyBorder="1"/>
    <xf numFmtId="0" fontId="1" fillId="4" borderId="3" xfId="0" applyFont="1" applyFill="1" applyBorder="1" applyAlignment="1">
      <alignment horizontal="right"/>
    </xf>
    <xf numFmtId="0" fontId="0" fillId="4" borderId="3" xfId="0" applyFill="1" applyBorder="1" applyAlignment="1">
      <alignment horizontal="right"/>
    </xf>
    <xf numFmtId="0" fontId="0" fillId="4" borderId="6" xfId="0" applyFill="1" applyBorder="1"/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right"/>
    </xf>
    <xf numFmtId="0" fontId="0" fillId="4" borderId="2" xfId="0" applyFill="1" applyBorder="1" applyAlignment="1">
      <alignment horizontal="right"/>
    </xf>
    <xf numFmtId="0" fontId="0" fillId="4" borderId="5" xfId="0" applyFill="1" applyBorder="1"/>
    <xf numFmtId="0" fontId="0" fillId="4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Fill="1"/>
    <xf numFmtId="0" fontId="0" fillId="2" borderId="3" xfId="0" applyFill="1" applyBorder="1" applyAlignment="1">
      <alignment horizontal="right"/>
    </xf>
    <xf numFmtId="0" fontId="1" fillId="2" borderId="3" xfId="0" applyFont="1" applyFill="1" applyBorder="1" applyAlignment="1">
      <alignment horizontal="right"/>
    </xf>
    <xf numFmtId="0" fontId="0" fillId="2" borderId="15" xfId="0" applyFill="1" applyBorder="1"/>
    <xf numFmtId="0" fontId="1" fillId="2" borderId="4" xfId="0" applyFont="1" applyFill="1" applyBorder="1" applyAlignment="1">
      <alignment horizontal="right"/>
    </xf>
    <xf numFmtId="0" fontId="0" fillId="4" borderId="17" xfId="0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9" xfId="0" applyNumberFormat="1" applyFill="1" applyBorder="1" applyAlignment="1">
      <alignment horizontal="right"/>
    </xf>
    <xf numFmtId="0" fontId="0" fillId="2" borderId="9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3" xfId="0" applyBorder="1"/>
    <xf numFmtId="0" fontId="0" fillId="0" borderId="9" xfId="0" applyFill="1" applyBorder="1"/>
    <xf numFmtId="0" fontId="0" fillId="0" borderId="3" xfId="0" applyFill="1" applyBorder="1"/>
    <xf numFmtId="0" fontId="0" fillId="2" borderId="20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1" fontId="0" fillId="2" borderId="20" xfId="0" applyNumberFormat="1" applyFill="1" applyBorder="1" applyAlignment="1">
      <alignment horizontal="center"/>
    </xf>
    <xf numFmtId="1" fontId="0" fillId="5" borderId="20" xfId="0" applyNumberFormat="1" applyFill="1" applyBorder="1" applyAlignment="1">
      <alignment horizontal="center"/>
    </xf>
    <xf numFmtId="1" fontId="0" fillId="2" borderId="22" xfId="0" applyNumberFormat="1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18" xfId="0" applyFill="1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1" fillId="3" borderId="6" xfId="0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right"/>
    </xf>
    <xf numFmtId="0" fontId="0" fillId="0" borderId="23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" fontId="0" fillId="0" borderId="3" xfId="0" applyNumberFormat="1" applyFill="1" applyBorder="1"/>
    <xf numFmtId="1" fontId="0" fillId="2" borderId="3" xfId="0" applyNumberFormat="1" applyFill="1" applyBorder="1"/>
    <xf numFmtId="1" fontId="0" fillId="2" borderId="4" xfId="0" applyNumberFormat="1" applyFill="1" applyBorder="1"/>
    <xf numFmtId="1" fontId="0" fillId="5" borderId="18" xfId="0" applyNumberFormat="1" applyFill="1" applyBorder="1"/>
    <xf numFmtId="1" fontId="0" fillId="2" borderId="18" xfId="0" applyNumberFormat="1" applyFill="1" applyBorder="1"/>
    <xf numFmtId="1" fontId="0" fillId="2" borderId="21" xfId="0" applyNumberFormat="1" applyFill="1" applyBorder="1"/>
    <xf numFmtId="1" fontId="0" fillId="0" borderId="3" xfId="0" applyNumberFormat="1" applyBorder="1" applyAlignment="1">
      <alignment horizontal="center"/>
    </xf>
    <xf numFmtId="1" fontId="0" fillId="2" borderId="3" xfId="0" applyNumberFormat="1" applyFill="1" applyBorder="1" applyAlignment="1">
      <alignment horizontal="center"/>
    </xf>
    <xf numFmtId="1" fontId="0" fillId="2" borderId="4" xfId="0" applyNumberFormat="1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10" xfId="0" applyBorder="1" applyAlignment="1">
      <alignment horizontal="center"/>
    </xf>
    <xf numFmtId="0" fontId="0" fillId="0" borderId="12" xfId="0" applyFill="1" applyBorder="1"/>
    <xf numFmtId="0" fontId="0" fillId="2" borderId="12" xfId="0" applyFill="1" applyBorder="1"/>
    <xf numFmtId="0" fontId="0" fillId="2" borderId="13" xfId="0" applyFill="1" applyBorder="1"/>
    <xf numFmtId="1" fontId="0" fillId="5" borderId="23" xfId="0" applyNumberFormat="1" applyFill="1" applyBorder="1"/>
    <xf numFmtId="1" fontId="0" fillId="2" borderId="23" xfId="0" applyNumberFormat="1" applyFill="1" applyBorder="1"/>
    <xf numFmtId="1" fontId="0" fillId="2" borderId="24" xfId="0" applyNumberFormat="1" applyFill="1" applyBorder="1"/>
    <xf numFmtId="1" fontId="0" fillId="0" borderId="12" xfId="0" applyNumberFormat="1" applyBorder="1" applyAlignment="1">
      <alignment horizontal="center"/>
    </xf>
    <xf numFmtId="1" fontId="0" fillId="2" borderId="12" xfId="0" applyNumberFormat="1" applyFill="1" applyBorder="1" applyAlignment="1">
      <alignment horizontal="center"/>
    </xf>
    <xf numFmtId="1" fontId="0" fillId="2" borderId="13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0" fillId="3" borderId="3" xfId="0" applyFont="1" applyFill="1" applyBorder="1" applyAlignment="1">
      <alignment horizontal="right"/>
    </xf>
    <xf numFmtId="0" fontId="0" fillId="4" borderId="3" xfId="0" applyFont="1" applyFill="1" applyBorder="1" applyAlignment="1">
      <alignment horizontal="right"/>
    </xf>
    <xf numFmtId="1" fontId="0" fillId="3" borderId="3" xfId="0" applyNumberFormat="1" applyFill="1" applyBorder="1" applyAlignment="1">
      <alignment horizontal="center"/>
    </xf>
    <xf numFmtId="0" fontId="0" fillId="4" borderId="5" xfId="0" applyFill="1" applyBorder="1" applyAlignment="1">
      <alignment horizontal="right"/>
    </xf>
    <xf numFmtId="0" fontId="0" fillId="4" borderId="6" xfId="0" applyFill="1" applyBorder="1" applyAlignment="1">
      <alignment horizontal="right"/>
    </xf>
    <xf numFmtId="0" fontId="0" fillId="3" borderId="6" xfId="0" applyFont="1" applyFill="1" applyBorder="1" applyAlignment="1">
      <alignment horizontal="right"/>
    </xf>
    <xf numFmtId="0" fontId="0" fillId="4" borderId="6" xfId="0" applyFont="1" applyFill="1" applyBorder="1" applyAlignment="1">
      <alignment horizontal="right"/>
    </xf>
    <xf numFmtId="0" fontId="0" fillId="4" borderId="7" xfId="0" applyFill="1" applyBorder="1" applyAlignment="1">
      <alignment horizontal="right"/>
    </xf>
    <xf numFmtId="1" fontId="0" fillId="4" borderId="2" xfId="0" applyNumberFormat="1" applyFill="1" applyBorder="1" applyAlignment="1">
      <alignment horizontal="center"/>
    </xf>
    <xf numFmtId="1" fontId="0" fillId="4" borderId="3" xfId="0" applyNumberFormat="1" applyFill="1" applyBorder="1" applyAlignment="1">
      <alignment horizontal="center"/>
    </xf>
    <xf numFmtId="1" fontId="0" fillId="4" borderId="4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9" xfId="0" applyFill="1" applyBorder="1" applyAlignment="1">
      <alignment horizontal="center" vertical="center"/>
    </xf>
    <xf numFmtId="0" fontId="0" fillId="4" borderId="9" xfId="0" applyFill="1" applyBorder="1"/>
    <xf numFmtId="0" fontId="0" fillId="4" borderId="9" xfId="0" applyNumberFormat="1" applyFill="1" applyBorder="1" applyAlignment="1">
      <alignment horizontal="right"/>
    </xf>
    <xf numFmtId="0" fontId="0" fillId="0" borderId="3" xfId="0" applyFill="1" applyBorder="1" applyAlignment="1">
      <alignment vertical="center"/>
    </xf>
    <xf numFmtId="0" fontId="0" fillId="4" borderId="3" xfId="0" applyFill="1" applyBorder="1" applyAlignment="1">
      <alignment vertical="center"/>
    </xf>
    <xf numFmtId="0" fontId="0" fillId="0" borderId="3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1" fillId="0" borderId="3" xfId="0" applyFont="1" applyFill="1" applyBorder="1" applyAlignment="1">
      <alignment horizontal="right"/>
    </xf>
    <xf numFmtId="0" fontId="0" fillId="0" borderId="3" xfId="0" applyFill="1" applyBorder="1" applyAlignment="1">
      <alignment horizontal="right" vertical="center"/>
    </xf>
    <xf numFmtId="0" fontId="0" fillId="4" borderId="9" xfId="0" applyFont="1" applyFill="1" applyBorder="1" applyAlignment="1">
      <alignment horizontal="center"/>
    </xf>
    <xf numFmtId="0" fontId="0" fillId="0" borderId="3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vertical="center"/>
    </xf>
    <xf numFmtId="0" fontId="0" fillId="0" borderId="3" xfId="0" applyFont="1" applyFill="1" applyBorder="1" applyAlignment="1">
      <alignment horizontal="center"/>
    </xf>
    <xf numFmtId="0" fontId="0" fillId="4" borderId="3" xfId="0" applyFont="1" applyFill="1" applyBorder="1" applyAlignment="1">
      <alignment horizontal="center"/>
    </xf>
    <xf numFmtId="0" fontId="0" fillId="4" borderId="4" xfId="0" applyFont="1" applyFill="1" applyBorder="1" applyAlignment="1">
      <alignment horizontal="center"/>
    </xf>
    <xf numFmtId="1" fontId="0" fillId="4" borderId="9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0" fontId="0" fillId="4" borderId="9" xfId="0" applyFill="1" applyBorder="1" applyAlignment="1">
      <alignment horizontal="right" indent="1"/>
    </xf>
    <xf numFmtId="0" fontId="0" fillId="0" borderId="3" xfId="0" applyFill="1" applyBorder="1" applyAlignment="1">
      <alignment horizontal="right" indent="1"/>
    </xf>
    <xf numFmtId="0" fontId="0" fillId="4" borderId="3" xfId="0" applyFill="1" applyBorder="1" applyAlignment="1">
      <alignment horizontal="right" vertical="center" indent="1"/>
    </xf>
    <xf numFmtId="0" fontId="0" fillId="4" borderId="3" xfId="0" applyFill="1" applyBorder="1" applyAlignment="1">
      <alignment horizontal="right" indent="1"/>
    </xf>
    <xf numFmtId="0" fontId="0" fillId="4" borderId="4" xfId="0" applyFill="1" applyBorder="1" applyAlignment="1">
      <alignment horizontal="right" indent="1"/>
    </xf>
    <xf numFmtId="0" fontId="0" fillId="4" borderId="26" xfId="0" applyFill="1" applyBorder="1" applyAlignment="1"/>
    <xf numFmtId="1" fontId="0" fillId="4" borderId="26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8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right" vertical="center" wrapText="1"/>
    </xf>
    <xf numFmtId="0" fontId="2" fillId="8" borderId="1" xfId="0" applyFont="1" applyFill="1" applyBorder="1" applyAlignment="1">
      <alignment vertical="center" wrapText="1"/>
    </xf>
    <xf numFmtId="0" fontId="2" fillId="8" borderId="19" xfId="0" applyFont="1" applyFill="1" applyBorder="1" applyAlignment="1">
      <alignment horizontal="left" vertical="top"/>
    </xf>
    <xf numFmtId="0" fontId="2" fillId="8" borderId="8" xfId="0" applyFont="1" applyFill="1" applyBorder="1" applyAlignment="1">
      <alignment horizontal="left" vertical="top"/>
    </xf>
    <xf numFmtId="0" fontId="2" fillId="8" borderId="8" xfId="0" applyFont="1" applyFill="1" applyBorder="1" applyAlignment="1">
      <alignment horizontal="center" vertical="top" wrapText="1"/>
    </xf>
    <xf numFmtId="0" fontId="2" fillId="8" borderId="8" xfId="0" applyFont="1" applyFill="1" applyBorder="1" applyAlignment="1">
      <alignment horizontal="left" vertical="top" wrapText="1"/>
    </xf>
    <xf numFmtId="0" fontId="2" fillId="8" borderId="16" xfId="0" applyFont="1" applyFill="1" applyBorder="1" applyAlignment="1">
      <alignment horizontal="center" vertical="top" wrapText="1"/>
    </xf>
    <xf numFmtId="0" fontId="2" fillId="8" borderId="8" xfId="0" applyFont="1" applyFill="1" applyBorder="1" applyAlignment="1">
      <alignment horizontal="center" wrapText="1"/>
    </xf>
    <xf numFmtId="0" fontId="2" fillId="8" borderId="8" xfId="0" applyFont="1" applyFill="1" applyBorder="1" applyAlignment="1">
      <alignment wrapText="1"/>
    </xf>
    <xf numFmtId="0" fontId="2" fillId="8" borderId="8" xfId="0" applyFont="1" applyFill="1" applyBorder="1" applyAlignment="1">
      <alignment horizontal="right" wrapText="1"/>
    </xf>
    <xf numFmtId="1" fontId="2" fillId="8" borderId="8" xfId="0" applyNumberFormat="1" applyFont="1" applyFill="1" applyBorder="1" applyAlignment="1">
      <alignment horizontal="center" wrapText="1"/>
    </xf>
    <xf numFmtId="0" fontId="0" fillId="4" borderId="2" xfId="0" applyFont="1" applyFill="1" applyBorder="1" applyAlignment="1">
      <alignment horizontal="right"/>
    </xf>
    <xf numFmtId="0" fontId="0" fillId="0" borderId="27" xfId="0" applyFill="1" applyBorder="1" applyAlignment="1">
      <alignment horizontal="center"/>
    </xf>
    <xf numFmtId="0" fontId="0" fillId="0" borderId="8" xfId="0" applyBorder="1"/>
    <xf numFmtId="0" fontId="0" fillId="0" borderId="28" xfId="0" applyBorder="1"/>
    <xf numFmtId="0" fontId="0" fillId="0" borderId="5" xfId="0" applyBorder="1"/>
    <xf numFmtId="0" fontId="0" fillId="0" borderId="6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7" xfId="0" applyFill="1" applyBorder="1"/>
    <xf numFmtId="0" fontId="0" fillId="4" borderId="18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2" fillId="8" borderId="1" xfId="0" applyFont="1" applyFill="1" applyBorder="1" applyAlignment="1">
      <alignment wrapText="1"/>
    </xf>
    <xf numFmtId="1" fontId="0" fillId="0" borderId="3" xfId="0" applyNumberFormat="1" applyBorder="1"/>
    <xf numFmtId="1" fontId="0" fillId="4" borderId="2" xfId="0" applyNumberFormat="1" applyFill="1" applyBorder="1"/>
    <xf numFmtId="1" fontId="0" fillId="4" borderId="3" xfId="0" applyNumberFormat="1" applyFill="1" applyBorder="1"/>
    <xf numFmtId="1" fontId="0" fillId="4" borderId="4" xfId="0" applyNumberFormat="1" applyFill="1" applyBorder="1"/>
    <xf numFmtId="0" fontId="5" fillId="0" borderId="0" xfId="0" applyFont="1" applyAlignment="1">
      <alignment horizontal="center"/>
    </xf>
    <xf numFmtId="0" fontId="2" fillId="0" borderId="0" xfId="0" applyFont="1"/>
    <xf numFmtId="0" fontId="0" fillId="4" borderId="43" xfId="0" applyFill="1" applyBorder="1" applyAlignment="1">
      <alignment horizontal="center"/>
    </xf>
    <xf numFmtId="1" fontId="0" fillId="2" borderId="9" xfId="0" applyNumberFormat="1" applyFill="1" applyBorder="1" applyAlignment="1">
      <alignment horizontal="center"/>
    </xf>
    <xf numFmtId="0" fontId="0" fillId="2" borderId="20" xfId="0" applyFill="1" applyBorder="1"/>
    <xf numFmtId="1" fontId="0" fillId="2" borderId="9" xfId="0" applyNumberFormat="1" applyFill="1" applyBorder="1"/>
    <xf numFmtId="0" fontId="0" fillId="0" borderId="0" xfId="0" applyBorder="1"/>
    <xf numFmtId="0" fontId="6" fillId="0" borderId="0" xfId="0" applyFont="1" applyBorder="1"/>
    <xf numFmtId="0" fontId="0" fillId="0" borderId="0" xfId="0" applyFill="1" applyBorder="1"/>
    <xf numFmtId="0" fontId="7" fillId="0" borderId="0" xfId="0" applyFont="1"/>
    <xf numFmtId="0" fontId="2" fillId="0" borderId="0" xfId="0" applyFont="1" applyBorder="1"/>
    <xf numFmtId="0" fontId="0" fillId="4" borderId="14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8" fillId="0" borderId="8" xfId="0" applyFont="1" applyBorder="1"/>
    <xf numFmtId="0" fontId="0" fillId="0" borderId="6" xfId="0" applyFill="1" applyBorder="1"/>
    <xf numFmtId="0" fontId="0" fillId="0" borderId="35" xfId="0" applyBorder="1" applyAlignment="1">
      <alignment horizontal="center"/>
    </xf>
    <xf numFmtId="0" fontId="0" fillId="9" borderId="32" xfId="0" applyFill="1" applyBorder="1" applyAlignment="1">
      <alignment horizontal="center"/>
    </xf>
    <xf numFmtId="0" fontId="0" fillId="9" borderId="33" xfId="0" applyFill="1" applyBorder="1" applyAlignment="1">
      <alignment horizontal="center"/>
    </xf>
    <xf numFmtId="0" fontId="0" fillId="9" borderId="28" xfId="0" applyFill="1" applyBorder="1" applyAlignment="1">
      <alignment horizontal="center"/>
    </xf>
    <xf numFmtId="0" fontId="0" fillId="9" borderId="35" xfId="0" applyFill="1" applyBorder="1" applyAlignment="1">
      <alignment horizontal="center"/>
    </xf>
    <xf numFmtId="0" fontId="0" fillId="9" borderId="37" xfId="0" applyFill="1" applyBorder="1" applyAlignment="1">
      <alignment horizontal="center"/>
    </xf>
    <xf numFmtId="0" fontId="0" fillId="9" borderId="38" xfId="0" applyFill="1" applyBorder="1" applyAlignment="1">
      <alignment horizontal="center"/>
    </xf>
    <xf numFmtId="0" fontId="0" fillId="0" borderId="36" xfId="0" applyBorder="1" applyAlignment="1">
      <alignment horizontal="center"/>
    </xf>
    <xf numFmtId="0" fontId="0" fillId="4" borderId="47" xfId="0" applyFill="1" applyBorder="1"/>
    <xf numFmtId="0" fontId="0" fillId="0" borderId="10" xfId="0" applyBorder="1"/>
    <xf numFmtId="0" fontId="0" fillId="4" borderId="10" xfId="0" applyFill="1" applyBorder="1"/>
    <xf numFmtId="0" fontId="0" fillId="4" borderId="11" xfId="0" applyFill="1" applyBorder="1"/>
    <xf numFmtId="0" fontId="0" fillId="4" borderId="2" xfId="0" applyFill="1" applyBorder="1"/>
    <xf numFmtId="0" fontId="0" fillId="0" borderId="18" xfId="0" applyBorder="1"/>
    <xf numFmtId="0" fontId="0" fillId="0" borderId="7" xfId="0" applyBorder="1"/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0" fontId="4" fillId="6" borderId="41" xfId="0" applyFont="1" applyFill="1" applyBorder="1" applyAlignment="1">
      <alignment horizontal="center"/>
    </xf>
    <xf numFmtId="0" fontId="4" fillId="6" borderId="42" xfId="0" applyFont="1" applyFill="1" applyBorder="1" applyAlignment="1">
      <alignment horizontal="center"/>
    </xf>
    <xf numFmtId="0" fontId="4" fillId="6" borderId="25" xfId="0" applyFont="1" applyFill="1" applyBorder="1" applyAlignment="1">
      <alignment horizontal="center"/>
    </xf>
    <xf numFmtId="0" fontId="4" fillId="7" borderId="41" xfId="0" applyFont="1" applyFill="1" applyBorder="1" applyAlignment="1">
      <alignment horizontal="center"/>
    </xf>
    <xf numFmtId="0" fontId="4" fillId="7" borderId="42" xfId="0" applyFont="1" applyFill="1" applyBorder="1" applyAlignment="1">
      <alignment horizontal="center"/>
    </xf>
    <xf numFmtId="0" fontId="4" fillId="7" borderId="25" xfId="0" applyFont="1" applyFill="1" applyBorder="1" applyAlignment="1">
      <alignment horizontal="center"/>
    </xf>
    <xf numFmtId="0" fontId="0" fillId="0" borderId="44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44DF5-206B-4039-B6AA-8BE53E6A8575}">
  <sheetPr codeName="Feuil5"/>
  <dimension ref="A2:F41"/>
  <sheetViews>
    <sheetView view="pageLayout" zoomScaleNormal="100" workbookViewId="0">
      <selection activeCell="C15" sqref="C15"/>
    </sheetView>
  </sheetViews>
  <sheetFormatPr baseColWidth="10" defaultColWidth="11.42578125" defaultRowHeight="15" x14ac:dyDescent="0.25"/>
  <cols>
    <col min="2" max="2" width="12.140625" customWidth="1"/>
    <col min="5" max="5" width="7.140625" customWidth="1"/>
  </cols>
  <sheetData>
    <row r="2" spans="1:4" ht="23.25" x14ac:dyDescent="0.35">
      <c r="D2" s="179" t="s">
        <v>148</v>
      </c>
    </row>
    <row r="4" spans="1:4" x14ac:dyDescent="0.25">
      <c r="A4" s="180" t="s">
        <v>164</v>
      </c>
    </row>
    <row r="6" spans="1:4" x14ac:dyDescent="0.25">
      <c r="A6" s="180" t="s">
        <v>160</v>
      </c>
    </row>
    <row r="8" spans="1:4" x14ac:dyDescent="0.25">
      <c r="A8" s="180" t="s">
        <v>152</v>
      </c>
    </row>
    <row r="11" spans="1:4" x14ac:dyDescent="0.25">
      <c r="A11" s="180" t="s">
        <v>161</v>
      </c>
    </row>
    <row r="12" spans="1:4" x14ac:dyDescent="0.25">
      <c r="A12" s="180"/>
    </row>
    <row r="13" spans="1:4" x14ac:dyDescent="0.25">
      <c r="A13" s="180"/>
    </row>
    <row r="14" spans="1:4" x14ac:dyDescent="0.25">
      <c r="A14" s="180" t="s">
        <v>162</v>
      </c>
    </row>
    <row r="17" spans="1:6" x14ac:dyDescent="0.25">
      <c r="A17" s="180" t="s">
        <v>155</v>
      </c>
    </row>
    <row r="20" spans="1:6" x14ac:dyDescent="0.25">
      <c r="A20" s="180" t="s">
        <v>159</v>
      </c>
    </row>
    <row r="23" spans="1:6" x14ac:dyDescent="0.25">
      <c r="A23" s="180" t="s">
        <v>151</v>
      </c>
      <c r="C23" t="s">
        <v>158</v>
      </c>
      <c r="F23" t="s">
        <v>163</v>
      </c>
    </row>
    <row r="26" spans="1:6" x14ac:dyDescent="0.25">
      <c r="A26" s="180" t="s">
        <v>149</v>
      </c>
    </row>
    <row r="29" spans="1:6" x14ac:dyDescent="0.25">
      <c r="A29" s="180" t="s">
        <v>150</v>
      </c>
    </row>
    <row r="32" spans="1:6" x14ac:dyDescent="0.25">
      <c r="A32" s="180" t="s">
        <v>153</v>
      </c>
    </row>
    <row r="35" spans="1:1" x14ac:dyDescent="0.25">
      <c r="A35" s="180" t="s">
        <v>156</v>
      </c>
    </row>
    <row r="38" spans="1:1" x14ac:dyDescent="0.25">
      <c r="A38" s="180" t="s">
        <v>157</v>
      </c>
    </row>
    <row r="41" spans="1:1" x14ac:dyDescent="0.25">
      <c r="A41" s="180" t="s">
        <v>154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2A322-A72F-4A94-A894-B90DF07CC772}">
  <sheetPr codeName="Feuil1"/>
  <dimension ref="B7:F19"/>
  <sheetViews>
    <sheetView zoomScaleNormal="100" workbookViewId="0">
      <selection activeCell="D18" sqref="D18"/>
    </sheetView>
  </sheetViews>
  <sheetFormatPr baseColWidth="10" defaultColWidth="11.42578125" defaultRowHeight="15" x14ac:dyDescent="0.25"/>
  <sheetData>
    <row r="7" spans="2:6" x14ac:dyDescent="0.25">
      <c r="D7" s="1"/>
    </row>
    <row r="9" spans="2:6" x14ac:dyDescent="0.25">
      <c r="B9" t="s">
        <v>123</v>
      </c>
      <c r="F9" t="s">
        <v>124</v>
      </c>
    </row>
    <row r="10" spans="2:6" x14ac:dyDescent="0.25">
      <c r="B10" t="s">
        <v>125</v>
      </c>
      <c r="F10" t="s">
        <v>125</v>
      </c>
    </row>
    <row r="11" spans="2:6" x14ac:dyDescent="0.25">
      <c r="B11" t="s">
        <v>126</v>
      </c>
      <c r="F11" t="s">
        <v>126</v>
      </c>
    </row>
    <row r="12" spans="2:6" x14ac:dyDescent="0.25">
      <c r="B12" t="s">
        <v>127</v>
      </c>
      <c r="F12" t="s">
        <v>127</v>
      </c>
    </row>
    <row r="16" spans="2:6" x14ac:dyDescent="0.25">
      <c r="D16" s="1" t="s">
        <v>122</v>
      </c>
    </row>
    <row r="17" spans="4:4" x14ac:dyDescent="0.25">
      <c r="D17" s="1" t="s">
        <v>191</v>
      </c>
    </row>
    <row r="18" spans="4:4" x14ac:dyDescent="0.25">
      <c r="D18" s="1" t="s">
        <v>126</v>
      </c>
    </row>
    <row r="19" spans="4:4" x14ac:dyDescent="0.25">
      <c r="D19" s="1" t="s">
        <v>127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D406FC-CF5A-445A-B120-C08E5492A1C0}">
  <sheetPr codeName="Feuil2">
    <pageSetUpPr fitToPage="1"/>
  </sheetPr>
  <dimension ref="A1:U76"/>
  <sheetViews>
    <sheetView zoomScale="75" zoomScaleNormal="75" zoomScalePageLayoutView="75" workbookViewId="0">
      <selection activeCell="A12" sqref="A12"/>
    </sheetView>
  </sheetViews>
  <sheetFormatPr baseColWidth="10" defaultColWidth="11.42578125" defaultRowHeight="15" x14ac:dyDescent="0.25"/>
  <cols>
    <col min="1" max="1" width="8.42578125" customWidth="1"/>
    <col min="2" max="2" width="17.42578125" customWidth="1"/>
    <col min="3" max="3" width="10.28515625" customWidth="1"/>
    <col min="4" max="4" width="8.7109375" customWidth="1"/>
    <col min="5" max="5" width="17.42578125" style="2" customWidth="1"/>
    <col min="6" max="6" width="17" style="2" customWidth="1"/>
    <col min="7" max="7" width="14.7109375" customWidth="1"/>
    <col min="8" max="8" width="17" style="1" customWidth="1"/>
    <col min="9" max="9" width="15.42578125" style="3" customWidth="1"/>
    <col min="10" max="12" width="10.7109375" style="3" customWidth="1"/>
    <col min="13" max="13" width="12.42578125" style="1" customWidth="1"/>
    <col min="14" max="14" width="12.85546875" style="1" customWidth="1"/>
    <col min="15" max="15" width="14.140625" style="1" customWidth="1"/>
    <col min="16" max="16" width="13.5703125" style="1" customWidth="1"/>
    <col min="17" max="17" width="7.42578125" style="1" customWidth="1"/>
    <col min="18" max="18" width="11.5703125" style="1" customWidth="1"/>
    <col min="19" max="19" width="6.7109375" customWidth="1"/>
    <col min="20" max="20" width="15.42578125" customWidth="1"/>
    <col min="21" max="21" width="9" style="1" customWidth="1"/>
  </cols>
  <sheetData>
    <row r="1" spans="1:21" s="85" customFormat="1" ht="62.25" customHeight="1" thickBot="1" x14ac:dyDescent="0.3">
      <c r="A1" s="139" t="s">
        <v>4</v>
      </c>
      <c r="B1" s="140" t="s">
        <v>1</v>
      </c>
      <c r="C1" s="140" t="s">
        <v>82</v>
      </c>
      <c r="D1" s="140" t="s">
        <v>83</v>
      </c>
      <c r="E1" s="139" t="s">
        <v>43</v>
      </c>
      <c r="F1" s="139" t="s">
        <v>2</v>
      </c>
      <c r="G1" s="139" t="s">
        <v>5</v>
      </c>
      <c r="H1" s="139" t="s">
        <v>51</v>
      </c>
      <c r="I1" s="141" t="s">
        <v>7</v>
      </c>
      <c r="J1" s="141" t="s">
        <v>8</v>
      </c>
      <c r="K1" s="141" t="s">
        <v>185</v>
      </c>
      <c r="L1" s="141" t="s">
        <v>186</v>
      </c>
      <c r="M1" s="139" t="s">
        <v>120</v>
      </c>
      <c r="N1" s="139" t="s">
        <v>74</v>
      </c>
      <c r="O1" s="139" t="s">
        <v>119</v>
      </c>
      <c r="P1" s="139" t="s">
        <v>72</v>
      </c>
      <c r="Q1" s="139" t="s">
        <v>73</v>
      </c>
      <c r="R1" s="139" t="s">
        <v>0</v>
      </c>
      <c r="S1" s="142" t="s">
        <v>9</v>
      </c>
      <c r="T1" s="142" t="s">
        <v>195</v>
      </c>
      <c r="U1" s="139" t="s">
        <v>121</v>
      </c>
    </row>
    <row r="2" spans="1:21" s="17" customFormat="1" x14ac:dyDescent="0.25">
      <c r="A2" s="25" t="s">
        <v>3</v>
      </c>
      <c r="B2" s="18" t="s">
        <v>84</v>
      </c>
      <c r="C2" s="26">
        <v>1</v>
      </c>
      <c r="D2" s="26">
        <v>1</v>
      </c>
      <c r="E2" s="26" t="s">
        <v>39</v>
      </c>
      <c r="F2" s="27" t="s">
        <v>44</v>
      </c>
      <c r="G2" s="30" t="s">
        <v>6</v>
      </c>
      <c r="H2" s="31" t="s">
        <v>75</v>
      </c>
      <c r="I2" s="28">
        <v>943</v>
      </c>
      <c r="J2" s="103">
        <v>2410</v>
      </c>
      <c r="K2" s="29">
        <f>I2-(2*O2)</f>
        <v>927</v>
      </c>
      <c r="L2" s="29">
        <f>J2-O2</f>
        <v>2402</v>
      </c>
      <c r="M2" s="190">
        <f>IF(S2=0,CHOOSE(MATCH(B2,{"Galandage";"Fixe";"Coulissant"},0),1080,1020,1080),"")</f>
        <v>1080</v>
      </c>
      <c r="N2" s="108">
        <f t="shared" ref="N2" si="0">IF(B2="Galandage",I2-(O2*2)*1.0226,"")</f>
        <v>926.63840000000005</v>
      </c>
      <c r="O2" s="29">
        <v>8</v>
      </c>
      <c r="P2" s="29">
        <v>200</v>
      </c>
      <c r="Q2" s="29">
        <v>26</v>
      </c>
      <c r="R2" s="25" t="s">
        <v>41</v>
      </c>
      <c r="S2" s="152">
        <v>0</v>
      </c>
      <c r="T2" s="152">
        <v>0</v>
      </c>
      <c r="U2" s="25" t="s">
        <v>42</v>
      </c>
    </row>
    <row r="3" spans="1:21" s="10" customFormat="1" x14ac:dyDescent="0.25">
      <c r="A3" s="4" t="s">
        <v>10</v>
      </c>
      <c r="B3" s="32" t="s">
        <v>114</v>
      </c>
      <c r="C3" s="46">
        <v>1</v>
      </c>
      <c r="D3" s="46">
        <v>0</v>
      </c>
      <c r="E3" s="5" t="s">
        <v>39</v>
      </c>
      <c r="F3" s="6" t="s">
        <v>45</v>
      </c>
      <c r="G3" s="9" t="s">
        <v>6</v>
      </c>
      <c r="H3" s="32" t="s">
        <v>75</v>
      </c>
      <c r="I3" s="8">
        <v>945</v>
      </c>
      <c r="J3" s="64">
        <v>1350</v>
      </c>
      <c r="K3" s="118">
        <f t="shared" ref="K3:K34" si="1">I3-(2*O3)</f>
        <v>929</v>
      </c>
      <c r="L3" s="118">
        <f t="shared" ref="L3:L34" si="2">J3-O3</f>
        <v>1342</v>
      </c>
      <c r="M3" s="191" t="str">
        <f>IF(S3=0,CHOOSE(MATCH(B3,{"Galandage";"Fixe";"Coulissant"},0),1080,1020,1080),"")</f>
        <v/>
      </c>
      <c r="N3" s="102" t="str">
        <f t="shared" ref="N3:N34" si="3">IF(B3="Galandage",I3-(O3*2)*1.0226,"")</f>
        <v/>
      </c>
      <c r="O3" s="8">
        <v>8</v>
      </c>
      <c r="P3" s="8">
        <v>200</v>
      </c>
      <c r="Q3" s="8">
        <v>26</v>
      </c>
      <c r="R3" s="4" t="s">
        <v>41</v>
      </c>
      <c r="S3" s="100">
        <v>1000</v>
      </c>
      <c r="T3" s="100">
        <v>25</v>
      </c>
      <c r="U3" s="4" t="s">
        <v>42</v>
      </c>
    </row>
    <row r="4" spans="1:21" s="17" customFormat="1" x14ac:dyDescent="0.25">
      <c r="A4" s="18" t="s">
        <v>11</v>
      </c>
      <c r="B4" s="18" t="s">
        <v>85</v>
      </c>
      <c r="C4" s="19">
        <v>1</v>
      </c>
      <c r="D4" s="19">
        <v>0</v>
      </c>
      <c r="E4" s="19" t="s">
        <v>46</v>
      </c>
      <c r="F4" s="20" t="s">
        <v>47</v>
      </c>
      <c r="G4" s="24" t="s">
        <v>6</v>
      </c>
      <c r="H4" s="18" t="s">
        <v>75</v>
      </c>
      <c r="I4" s="23">
        <v>2710</v>
      </c>
      <c r="J4" s="104">
        <v>2625</v>
      </c>
      <c r="K4" s="23">
        <f t="shared" si="1"/>
        <v>2694</v>
      </c>
      <c r="L4" s="23">
        <f t="shared" si="2"/>
        <v>2617</v>
      </c>
      <c r="M4" s="192">
        <f>IF(S4=0,CHOOSE(MATCH(B4,{"Galandage";"Fixe";"Coulissant"},0),1080,1020,1080),"")</f>
        <v>1020</v>
      </c>
      <c r="N4" s="109" t="str">
        <f t="shared" si="3"/>
        <v/>
      </c>
      <c r="O4" s="23">
        <v>8</v>
      </c>
      <c r="P4" s="23">
        <v>250</v>
      </c>
      <c r="Q4" s="23">
        <v>26</v>
      </c>
      <c r="R4" s="18" t="s">
        <v>48</v>
      </c>
      <c r="S4" s="21">
        <v>0</v>
      </c>
      <c r="T4" s="21">
        <v>25</v>
      </c>
      <c r="U4" s="18" t="s">
        <v>42</v>
      </c>
    </row>
    <row r="5" spans="1:21" s="10" customFormat="1" x14ac:dyDescent="0.25">
      <c r="A5" s="4" t="s">
        <v>12</v>
      </c>
      <c r="B5" s="32" t="s">
        <v>84</v>
      </c>
      <c r="C5" s="46">
        <v>1</v>
      </c>
      <c r="D5" s="46">
        <v>0</v>
      </c>
      <c r="E5" s="5" t="s">
        <v>46</v>
      </c>
      <c r="F5" s="6" t="s">
        <v>49</v>
      </c>
      <c r="G5" s="9" t="s">
        <v>6</v>
      </c>
      <c r="H5" s="32" t="s">
        <v>75</v>
      </c>
      <c r="I5" s="8">
        <v>915</v>
      </c>
      <c r="J5" s="64">
        <v>1510</v>
      </c>
      <c r="K5" s="118">
        <f t="shared" si="1"/>
        <v>899</v>
      </c>
      <c r="L5" s="118">
        <f t="shared" si="2"/>
        <v>1502</v>
      </c>
      <c r="M5" s="191" t="str">
        <f>IF(S5=0,CHOOSE(MATCH(B5,{"Galandage";"Fixe";"Coulissant"},0),1080,1020,1080),"")</f>
        <v/>
      </c>
      <c r="N5" s="102">
        <f t="shared" si="3"/>
        <v>898.63840000000005</v>
      </c>
      <c r="O5" s="8">
        <v>8</v>
      </c>
      <c r="P5" s="8">
        <v>200</v>
      </c>
      <c r="Q5" s="8">
        <v>26</v>
      </c>
      <c r="R5" s="4" t="s">
        <v>48</v>
      </c>
      <c r="S5" s="7">
        <v>1000</v>
      </c>
      <c r="T5" s="7">
        <v>0</v>
      </c>
      <c r="U5" s="4" t="s">
        <v>50</v>
      </c>
    </row>
    <row r="6" spans="1:21" s="17" customFormat="1" x14ac:dyDescent="0.25">
      <c r="A6" s="18" t="s">
        <v>13</v>
      </c>
      <c r="B6" s="18" t="s">
        <v>114</v>
      </c>
      <c r="C6" s="19">
        <v>1</v>
      </c>
      <c r="D6" s="19">
        <v>0</v>
      </c>
      <c r="E6" s="19" t="s">
        <v>46</v>
      </c>
      <c r="F6" s="20" t="s">
        <v>52</v>
      </c>
      <c r="G6" s="24" t="s">
        <v>6</v>
      </c>
      <c r="H6" s="18" t="s">
        <v>75</v>
      </c>
      <c r="I6" s="23">
        <v>620</v>
      </c>
      <c r="J6" s="104">
        <v>1510</v>
      </c>
      <c r="K6" s="23">
        <f t="shared" si="1"/>
        <v>604</v>
      </c>
      <c r="L6" s="23">
        <f t="shared" si="2"/>
        <v>1502</v>
      </c>
      <c r="M6" s="192" t="str">
        <f>IF(S6=0,CHOOSE(MATCH(B6,{"Galandage";"Fixe";"Coulissant"},0),1080,1020,1080),"")</f>
        <v/>
      </c>
      <c r="N6" s="109" t="str">
        <f t="shared" si="3"/>
        <v/>
      </c>
      <c r="O6" s="23">
        <v>8</v>
      </c>
      <c r="P6" s="23">
        <v>200</v>
      </c>
      <c r="Q6" s="23">
        <v>26</v>
      </c>
      <c r="R6" s="18" t="s">
        <v>48</v>
      </c>
      <c r="S6" s="21">
        <v>1000</v>
      </c>
      <c r="T6" s="21">
        <v>25</v>
      </c>
      <c r="U6" s="18" t="s">
        <v>42</v>
      </c>
    </row>
    <row r="7" spans="1:21" s="10" customFormat="1" x14ac:dyDescent="0.25">
      <c r="A7" s="4" t="s">
        <v>14</v>
      </c>
      <c r="B7" s="32" t="s">
        <v>114</v>
      </c>
      <c r="C7" s="46">
        <v>1</v>
      </c>
      <c r="D7" s="46">
        <v>1</v>
      </c>
      <c r="E7" s="5" t="s">
        <v>46</v>
      </c>
      <c r="F7" s="6" t="s">
        <v>53</v>
      </c>
      <c r="G7" s="9" t="s">
        <v>6</v>
      </c>
      <c r="H7" s="32" t="s">
        <v>75</v>
      </c>
      <c r="I7" s="8">
        <v>620</v>
      </c>
      <c r="J7" s="105">
        <v>1510</v>
      </c>
      <c r="K7" s="118">
        <f t="shared" si="1"/>
        <v>604</v>
      </c>
      <c r="L7" s="118">
        <f t="shared" si="2"/>
        <v>1502</v>
      </c>
      <c r="M7" s="191" t="str">
        <f>IF(S7=0,CHOOSE(MATCH(B7,{"Galandage";"Fixe";"Coulissant"},0),1080,1020,1080),"")</f>
        <v/>
      </c>
      <c r="N7" s="102" t="str">
        <f t="shared" si="3"/>
        <v/>
      </c>
      <c r="O7" s="8">
        <v>8</v>
      </c>
      <c r="P7" s="8">
        <v>200</v>
      </c>
      <c r="Q7" s="8">
        <v>26</v>
      </c>
      <c r="R7" s="4" t="s">
        <v>48</v>
      </c>
      <c r="S7" s="7">
        <v>1000</v>
      </c>
      <c r="T7" s="7">
        <v>25</v>
      </c>
      <c r="U7" s="4" t="s">
        <v>42</v>
      </c>
    </row>
    <row r="8" spans="1:21" s="17" customFormat="1" x14ac:dyDescent="0.25">
      <c r="A8" s="18" t="s">
        <v>15</v>
      </c>
      <c r="B8" s="18" t="s">
        <v>84</v>
      </c>
      <c r="C8" s="19">
        <v>1</v>
      </c>
      <c r="D8" s="19">
        <v>1</v>
      </c>
      <c r="E8" s="19" t="s">
        <v>46</v>
      </c>
      <c r="F8" s="20" t="s">
        <v>54</v>
      </c>
      <c r="G8" s="24" t="s">
        <v>6</v>
      </c>
      <c r="H8" s="18" t="s">
        <v>75</v>
      </c>
      <c r="I8" s="23">
        <v>1520</v>
      </c>
      <c r="J8" s="104">
        <v>2400</v>
      </c>
      <c r="K8" s="23">
        <f t="shared" si="1"/>
        <v>1504</v>
      </c>
      <c r="L8" s="23">
        <f t="shared" si="2"/>
        <v>2392</v>
      </c>
      <c r="M8" s="192">
        <f>IF(S8=0,CHOOSE(MATCH(B8,{"Galandage";"Fixe";"Coulissant"},0),1080,1020,1080),"")</f>
        <v>1080</v>
      </c>
      <c r="N8" s="109">
        <f t="shared" si="3"/>
        <v>1503.6384</v>
      </c>
      <c r="O8" s="23">
        <v>8</v>
      </c>
      <c r="P8" s="23">
        <v>250</v>
      </c>
      <c r="Q8" s="23">
        <v>26</v>
      </c>
      <c r="R8" s="18" t="s">
        <v>41</v>
      </c>
      <c r="S8" s="21">
        <v>0</v>
      </c>
      <c r="T8" s="21">
        <v>0</v>
      </c>
      <c r="U8" s="18" t="s">
        <v>50</v>
      </c>
    </row>
    <row r="9" spans="1:21" s="10" customFormat="1" x14ac:dyDescent="0.25">
      <c r="A9" s="4" t="s">
        <v>16</v>
      </c>
      <c r="B9" s="32" t="s">
        <v>114</v>
      </c>
      <c r="C9" s="46">
        <v>1</v>
      </c>
      <c r="D9" s="46">
        <v>0</v>
      </c>
      <c r="E9" s="5" t="s">
        <v>46</v>
      </c>
      <c r="F9" s="6" t="s">
        <v>54</v>
      </c>
      <c r="G9" s="9" t="s">
        <v>6</v>
      </c>
      <c r="H9" s="32" t="s">
        <v>75</v>
      </c>
      <c r="I9" s="8">
        <v>620</v>
      </c>
      <c r="J9" s="64">
        <v>1510</v>
      </c>
      <c r="K9" s="118">
        <f t="shared" si="1"/>
        <v>604</v>
      </c>
      <c r="L9" s="118">
        <f t="shared" si="2"/>
        <v>1502</v>
      </c>
      <c r="M9" s="191" t="str">
        <f>IF(S9=0,CHOOSE(MATCH(B9,{"Galandage";"Fixe";"Coulissant"},0),1080,1020,1080),"")</f>
        <v/>
      </c>
      <c r="N9" s="102" t="str">
        <f t="shared" si="3"/>
        <v/>
      </c>
      <c r="O9" s="8">
        <v>8</v>
      </c>
      <c r="P9" s="8">
        <v>250</v>
      </c>
      <c r="Q9" s="8">
        <v>26</v>
      </c>
      <c r="R9" s="4" t="s">
        <v>48</v>
      </c>
      <c r="S9" s="7">
        <v>1000</v>
      </c>
      <c r="T9" s="7">
        <v>25</v>
      </c>
      <c r="U9" s="4" t="s">
        <v>50</v>
      </c>
    </row>
    <row r="10" spans="1:21" s="17" customFormat="1" x14ac:dyDescent="0.25">
      <c r="A10" s="18" t="s">
        <v>17</v>
      </c>
      <c r="B10" s="18" t="s">
        <v>114</v>
      </c>
      <c r="C10" s="19">
        <v>1</v>
      </c>
      <c r="D10" s="19">
        <v>0</v>
      </c>
      <c r="E10" s="19" t="s">
        <v>46</v>
      </c>
      <c r="F10" s="20" t="s">
        <v>55</v>
      </c>
      <c r="G10" s="24" t="s">
        <v>6</v>
      </c>
      <c r="H10" s="18" t="s">
        <v>75</v>
      </c>
      <c r="I10" s="23">
        <v>620</v>
      </c>
      <c r="J10" s="104">
        <v>1510</v>
      </c>
      <c r="K10" s="23">
        <f t="shared" si="1"/>
        <v>604</v>
      </c>
      <c r="L10" s="23">
        <f t="shared" si="2"/>
        <v>1502</v>
      </c>
      <c r="M10" s="192" t="str">
        <f>IF(S10=0,CHOOSE(MATCH(B10,{"Galandage";"Fixe";"Coulissant"},0),1080,1020,1080),"")</f>
        <v/>
      </c>
      <c r="N10" s="109" t="str">
        <f t="shared" si="3"/>
        <v/>
      </c>
      <c r="O10" s="23">
        <v>8</v>
      </c>
      <c r="P10" s="23">
        <v>200</v>
      </c>
      <c r="Q10" s="23">
        <v>26</v>
      </c>
      <c r="R10" s="18" t="s">
        <v>41</v>
      </c>
      <c r="S10" s="21">
        <v>1000</v>
      </c>
      <c r="T10" s="21">
        <v>25</v>
      </c>
      <c r="U10" s="18" t="s">
        <v>42</v>
      </c>
    </row>
    <row r="11" spans="1:21" s="10" customFormat="1" x14ac:dyDescent="0.25">
      <c r="A11" s="4" t="s">
        <v>18</v>
      </c>
      <c r="B11" s="32" t="s">
        <v>84</v>
      </c>
      <c r="C11" s="46">
        <v>1</v>
      </c>
      <c r="D11" s="46">
        <v>1</v>
      </c>
      <c r="E11" s="5" t="s">
        <v>46</v>
      </c>
      <c r="F11" s="6" t="s">
        <v>56</v>
      </c>
      <c r="G11" s="9" t="s">
        <v>6</v>
      </c>
      <c r="H11" s="32" t="s">
        <v>75</v>
      </c>
      <c r="I11" s="8">
        <v>1620</v>
      </c>
      <c r="J11" s="64">
        <v>2490</v>
      </c>
      <c r="K11" s="118">
        <f t="shared" si="1"/>
        <v>1520</v>
      </c>
      <c r="L11" s="118">
        <f t="shared" si="2"/>
        <v>2440</v>
      </c>
      <c r="M11" s="191">
        <f>IF(S11=0,CHOOSE(MATCH(B11,{"Galandage";"Fixe";"Coulissant"},0),1080,1020,1080),"")</f>
        <v>1080</v>
      </c>
      <c r="N11" s="102">
        <f t="shared" si="3"/>
        <v>1517.74</v>
      </c>
      <c r="O11" s="8">
        <v>50</v>
      </c>
      <c r="P11" s="8">
        <v>250</v>
      </c>
      <c r="Q11" s="8">
        <v>26</v>
      </c>
      <c r="R11" s="4" t="s">
        <v>41</v>
      </c>
      <c r="S11" s="7">
        <v>0</v>
      </c>
      <c r="T11" s="7">
        <v>0</v>
      </c>
      <c r="U11" s="4" t="s">
        <v>50</v>
      </c>
    </row>
    <row r="12" spans="1:21" s="17" customFormat="1" x14ac:dyDescent="0.25">
      <c r="A12" s="18" t="s">
        <v>19</v>
      </c>
      <c r="B12" s="18" t="s">
        <v>84</v>
      </c>
      <c r="C12" s="19">
        <v>1</v>
      </c>
      <c r="D12" s="19">
        <v>1</v>
      </c>
      <c r="E12" s="19" t="s">
        <v>46</v>
      </c>
      <c r="F12" s="20" t="s">
        <v>57</v>
      </c>
      <c r="G12" s="24" t="s">
        <v>6</v>
      </c>
      <c r="H12" s="18" t="s">
        <v>75</v>
      </c>
      <c r="I12" s="23">
        <v>1520</v>
      </c>
      <c r="J12" s="104">
        <v>2410</v>
      </c>
      <c r="K12" s="23">
        <f t="shared" si="1"/>
        <v>1504</v>
      </c>
      <c r="L12" s="23">
        <f t="shared" si="2"/>
        <v>2402</v>
      </c>
      <c r="M12" s="192">
        <f>IF(S12=0,CHOOSE(MATCH(B12,{"Galandage";"Fixe";"Coulissant"},0),1080,1020,1080),"")</f>
        <v>1080</v>
      </c>
      <c r="N12" s="109">
        <f t="shared" si="3"/>
        <v>1503.6384</v>
      </c>
      <c r="O12" s="23">
        <v>8</v>
      </c>
      <c r="P12" s="23">
        <v>250</v>
      </c>
      <c r="Q12" s="23">
        <v>26</v>
      </c>
      <c r="R12" s="18" t="s">
        <v>48</v>
      </c>
      <c r="S12" s="21">
        <v>0</v>
      </c>
      <c r="T12" s="21">
        <v>0</v>
      </c>
      <c r="U12" s="18" t="s">
        <v>50</v>
      </c>
    </row>
    <row r="13" spans="1:21" s="10" customFormat="1" x14ac:dyDescent="0.25">
      <c r="A13" s="4" t="s">
        <v>20</v>
      </c>
      <c r="B13" s="32" t="s">
        <v>84</v>
      </c>
      <c r="C13" s="46">
        <v>1</v>
      </c>
      <c r="D13" s="46">
        <v>1</v>
      </c>
      <c r="E13" s="5" t="s">
        <v>46</v>
      </c>
      <c r="F13" s="6" t="s">
        <v>58</v>
      </c>
      <c r="G13" s="9" t="s">
        <v>6</v>
      </c>
      <c r="H13" s="32" t="s">
        <v>75</v>
      </c>
      <c r="I13" s="8">
        <v>1520</v>
      </c>
      <c r="J13" s="64">
        <v>2415</v>
      </c>
      <c r="K13" s="118">
        <f t="shared" si="1"/>
        <v>1504</v>
      </c>
      <c r="L13" s="118">
        <f t="shared" si="2"/>
        <v>2407</v>
      </c>
      <c r="M13" s="191">
        <f>IF(S13=0,CHOOSE(MATCH(B13,{"Galandage";"Fixe";"Coulissant"},0),1080,1020,1080),"")</f>
        <v>1080</v>
      </c>
      <c r="N13" s="102">
        <f t="shared" si="3"/>
        <v>1503.6384</v>
      </c>
      <c r="O13" s="8">
        <v>8</v>
      </c>
      <c r="P13" s="8">
        <v>250</v>
      </c>
      <c r="Q13" s="8">
        <v>26</v>
      </c>
      <c r="R13" s="4" t="s">
        <v>48</v>
      </c>
      <c r="S13" s="7">
        <v>0</v>
      </c>
      <c r="T13" s="7">
        <v>0</v>
      </c>
      <c r="U13" s="4" t="s">
        <v>50</v>
      </c>
    </row>
    <row r="14" spans="1:21" s="17" customFormat="1" x14ac:dyDescent="0.25">
      <c r="A14" s="18" t="s">
        <v>21</v>
      </c>
      <c r="B14" s="18" t="s">
        <v>84</v>
      </c>
      <c r="C14" s="19">
        <v>1</v>
      </c>
      <c r="D14" s="19">
        <v>1</v>
      </c>
      <c r="E14" s="19" t="s">
        <v>46</v>
      </c>
      <c r="F14" s="20" t="s">
        <v>58</v>
      </c>
      <c r="G14" s="24" t="s">
        <v>6</v>
      </c>
      <c r="H14" s="18" t="s">
        <v>75</v>
      </c>
      <c r="I14" s="23">
        <v>1270</v>
      </c>
      <c r="J14" s="104">
        <v>2415</v>
      </c>
      <c r="K14" s="23">
        <f t="shared" si="1"/>
        <v>1254</v>
      </c>
      <c r="L14" s="23">
        <f t="shared" si="2"/>
        <v>2407</v>
      </c>
      <c r="M14" s="192">
        <f>IF(S14=0,CHOOSE(MATCH(B14,{"Galandage";"Fixe";"Coulissant"},0),1080,1020,1080),"")</f>
        <v>1080</v>
      </c>
      <c r="N14" s="109">
        <f t="shared" si="3"/>
        <v>1253.6384</v>
      </c>
      <c r="O14" s="23">
        <v>8</v>
      </c>
      <c r="P14" s="23">
        <v>250</v>
      </c>
      <c r="Q14" s="23">
        <v>26</v>
      </c>
      <c r="R14" s="18" t="s">
        <v>48</v>
      </c>
      <c r="S14" s="21">
        <v>0</v>
      </c>
      <c r="T14" s="21">
        <v>0</v>
      </c>
      <c r="U14" s="18" t="s">
        <v>50</v>
      </c>
    </row>
    <row r="15" spans="1:21" s="10" customFormat="1" x14ac:dyDescent="0.25">
      <c r="A15" s="4" t="s">
        <v>22</v>
      </c>
      <c r="B15" s="32" t="s">
        <v>84</v>
      </c>
      <c r="C15" s="46">
        <v>1</v>
      </c>
      <c r="D15" s="46">
        <v>1</v>
      </c>
      <c r="E15" s="5" t="s">
        <v>46</v>
      </c>
      <c r="F15" s="6" t="s">
        <v>58</v>
      </c>
      <c r="G15" s="9" t="s">
        <v>6</v>
      </c>
      <c r="H15" s="32" t="s">
        <v>75</v>
      </c>
      <c r="I15" s="8">
        <v>1270</v>
      </c>
      <c r="J15" s="64">
        <v>2410</v>
      </c>
      <c r="K15" s="118">
        <f t="shared" si="1"/>
        <v>1254</v>
      </c>
      <c r="L15" s="118">
        <f t="shared" si="2"/>
        <v>2402</v>
      </c>
      <c r="M15" s="191">
        <f>IF(S15=0,CHOOSE(MATCH(B15,{"Galandage";"Fixe";"Coulissant"},0),1080,1020,1080),"")</f>
        <v>1080</v>
      </c>
      <c r="N15" s="102">
        <f t="shared" si="3"/>
        <v>1253.6384</v>
      </c>
      <c r="O15" s="8">
        <v>8</v>
      </c>
      <c r="P15" s="8">
        <v>250</v>
      </c>
      <c r="Q15" s="8">
        <v>26</v>
      </c>
      <c r="R15" s="4" t="s">
        <v>48</v>
      </c>
      <c r="S15" s="7">
        <v>0</v>
      </c>
      <c r="T15" s="7">
        <v>0</v>
      </c>
      <c r="U15" s="4" t="s">
        <v>50</v>
      </c>
    </row>
    <row r="16" spans="1:21" s="17" customFormat="1" x14ac:dyDescent="0.25">
      <c r="A16" s="18" t="s">
        <v>23</v>
      </c>
      <c r="B16" s="18" t="s">
        <v>59</v>
      </c>
      <c r="C16" s="19">
        <v>1</v>
      </c>
      <c r="D16" s="19">
        <v>1</v>
      </c>
      <c r="E16" s="19" t="s">
        <v>46</v>
      </c>
      <c r="F16" s="20" t="s">
        <v>60</v>
      </c>
      <c r="G16" s="24" t="s">
        <v>6</v>
      </c>
      <c r="H16" s="18" t="s">
        <v>75</v>
      </c>
      <c r="I16" s="23">
        <v>1020</v>
      </c>
      <c r="J16" s="104">
        <v>2110</v>
      </c>
      <c r="K16" s="23">
        <f t="shared" si="1"/>
        <v>1004</v>
      </c>
      <c r="L16" s="23">
        <f>J16-O16-20</f>
        <v>2082</v>
      </c>
      <c r="M16" s="192" t="str">
        <f>IF(S16=0,CHOOSE(MATCH(B16,{"Galandage";"Fixe";"Coulissant"},0),1080,1020,1080),"")</f>
        <v/>
      </c>
      <c r="N16" s="109" t="str">
        <f t="shared" si="3"/>
        <v/>
      </c>
      <c r="O16" s="23">
        <v>8</v>
      </c>
      <c r="P16" s="23">
        <v>200</v>
      </c>
      <c r="Q16" s="23">
        <v>26</v>
      </c>
      <c r="R16" s="18" t="s">
        <v>61</v>
      </c>
      <c r="S16" s="21">
        <v>1000</v>
      </c>
      <c r="T16" s="21">
        <v>25</v>
      </c>
      <c r="U16" s="18" t="s">
        <v>50</v>
      </c>
    </row>
    <row r="17" spans="1:21" s="10" customFormat="1" x14ac:dyDescent="0.25">
      <c r="A17" s="4" t="s">
        <v>24</v>
      </c>
      <c r="B17" s="32" t="s">
        <v>59</v>
      </c>
      <c r="C17" s="46">
        <v>1</v>
      </c>
      <c r="D17" s="46">
        <v>1</v>
      </c>
      <c r="E17" s="5" t="s">
        <v>46</v>
      </c>
      <c r="F17" s="6" t="s">
        <v>60</v>
      </c>
      <c r="G17" s="9" t="s">
        <v>6</v>
      </c>
      <c r="H17" s="32" t="s">
        <v>75</v>
      </c>
      <c r="I17" s="8">
        <v>1020</v>
      </c>
      <c r="J17" s="64">
        <v>2165</v>
      </c>
      <c r="K17" s="118">
        <f t="shared" si="1"/>
        <v>1004</v>
      </c>
      <c r="L17" s="118">
        <f t="shared" si="2"/>
        <v>2157</v>
      </c>
      <c r="M17" s="191" t="str">
        <f>IF(S17=0,CHOOSE(MATCH(B17,{"Galandage";"Fixe";"Coulissant"},0),1080,1020,1080),"")</f>
        <v/>
      </c>
      <c r="N17" s="102" t="str">
        <f t="shared" si="3"/>
        <v/>
      </c>
      <c r="O17" s="8">
        <v>8</v>
      </c>
      <c r="P17" s="8">
        <v>200</v>
      </c>
      <c r="Q17" s="8">
        <v>26</v>
      </c>
      <c r="R17" s="4" t="s">
        <v>61</v>
      </c>
      <c r="S17" s="7">
        <v>1000</v>
      </c>
      <c r="T17" s="7">
        <v>25</v>
      </c>
      <c r="U17" s="4" t="s">
        <v>50</v>
      </c>
    </row>
    <row r="18" spans="1:21" s="17" customFormat="1" x14ac:dyDescent="0.25">
      <c r="A18" s="18" t="s">
        <v>25</v>
      </c>
      <c r="B18" s="18" t="s">
        <v>87</v>
      </c>
      <c r="C18" s="19">
        <v>4</v>
      </c>
      <c r="D18" s="19">
        <v>2</v>
      </c>
      <c r="E18" s="19" t="s">
        <v>46</v>
      </c>
      <c r="F18" s="20" t="s">
        <v>62</v>
      </c>
      <c r="G18" s="24" t="s">
        <v>6</v>
      </c>
      <c r="H18" s="18" t="s">
        <v>75</v>
      </c>
      <c r="I18" s="101">
        <v>8435</v>
      </c>
      <c r="J18" s="106">
        <v>2985</v>
      </c>
      <c r="K18" s="23">
        <f t="shared" si="1"/>
        <v>8419</v>
      </c>
      <c r="L18" s="23">
        <f t="shared" si="2"/>
        <v>2977</v>
      </c>
      <c r="M18" s="192">
        <f>IF(S18=0,CHOOSE(MATCH(B18,{"Galandage";"Fixe";"Coulissant"},0),1080,1020,1080),"")</f>
        <v>1080</v>
      </c>
      <c r="N18" s="109" t="str">
        <f t="shared" si="3"/>
        <v/>
      </c>
      <c r="O18" s="23">
        <v>8</v>
      </c>
      <c r="P18" s="23">
        <v>200</v>
      </c>
      <c r="Q18" s="23">
        <v>26</v>
      </c>
      <c r="R18" s="18" t="s">
        <v>61</v>
      </c>
      <c r="S18" s="21">
        <v>0</v>
      </c>
      <c r="T18" s="21">
        <v>0</v>
      </c>
      <c r="U18" s="18" t="s">
        <v>42</v>
      </c>
    </row>
    <row r="19" spans="1:21" s="10" customFormat="1" x14ac:dyDescent="0.25">
      <c r="A19" s="4" t="s">
        <v>26</v>
      </c>
      <c r="B19" s="32" t="s">
        <v>84</v>
      </c>
      <c r="C19" s="46">
        <v>1</v>
      </c>
      <c r="D19" s="46">
        <v>1</v>
      </c>
      <c r="E19" s="5" t="s">
        <v>46</v>
      </c>
      <c r="F19" s="6" t="s">
        <v>63</v>
      </c>
      <c r="G19" s="9" t="s">
        <v>6</v>
      </c>
      <c r="H19" s="32" t="s">
        <v>75</v>
      </c>
      <c r="I19" s="8">
        <v>1820</v>
      </c>
      <c r="J19" s="105">
        <v>2410</v>
      </c>
      <c r="K19" s="118">
        <f t="shared" si="1"/>
        <v>1804</v>
      </c>
      <c r="L19" s="118">
        <f t="shared" si="2"/>
        <v>2402</v>
      </c>
      <c r="M19" s="191">
        <f>IF(S19=0,CHOOSE(MATCH(B19,{"Galandage";"Fixe";"Coulissant"},0),1080,1020,1080),"")</f>
        <v>1080</v>
      </c>
      <c r="N19" s="102">
        <f t="shared" si="3"/>
        <v>1803.6384</v>
      </c>
      <c r="O19" s="8">
        <v>8</v>
      </c>
      <c r="P19" s="8">
        <v>250</v>
      </c>
      <c r="Q19" s="8">
        <v>26</v>
      </c>
      <c r="R19" s="4" t="s">
        <v>41</v>
      </c>
      <c r="S19" s="7">
        <v>0</v>
      </c>
      <c r="T19" s="7">
        <v>0</v>
      </c>
      <c r="U19" s="4" t="s">
        <v>50</v>
      </c>
    </row>
    <row r="20" spans="1:21" s="17" customFormat="1" x14ac:dyDescent="0.25">
      <c r="A20" s="18" t="s">
        <v>27</v>
      </c>
      <c r="B20" s="18" t="s">
        <v>84</v>
      </c>
      <c r="C20" s="19">
        <v>1</v>
      </c>
      <c r="D20" s="19">
        <v>1</v>
      </c>
      <c r="E20" s="19" t="s">
        <v>46</v>
      </c>
      <c r="F20" s="20" t="s">
        <v>63</v>
      </c>
      <c r="G20" s="24" t="s">
        <v>6</v>
      </c>
      <c r="H20" s="18" t="s">
        <v>75</v>
      </c>
      <c r="I20" s="23">
        <v>915</v>
      </c>
      <c r="J20" s="104">
        <v>1510</v>
      </c>
      <c r="K20" s="23">
        <f t="shared" si="1"/>
        <v>899</v>
      </c>
      <c r="L20" s="23">
        <f t="shared" si="2"/>
        <v>1502</v>
      </c>
      <c r="M20" s="192" t="str">
        <f>IF(S20=0,CHOOSE(MATCH(B20,{"Galandage";"Fixe";"Coulissant"},0),1080,1020,1080),"")</f>
        <v/>
      </c>
      <c r="N20" s="109">
        <f t="shared" si="3"/>
        <v>898.63840000000005</v>
      </c>
      <c r="O20" s="23">
        <v>8</v>
      </c>
      <c r="P20" s="23">
        <v>250</v>
      </c>
      <c r="Q20" s="23">
        <v>26</v>
      </c>
      <c r="R20" s="18" t="s">
        <v>41</v>
      </c>
      <c r="S20" s="23">
        <v>1000</v>
      </c>
      <c r="T20" s="23">
        <v>0</v>
      </c>
      <c r="U20" s="18" t="s">
        <v>50</v>
      </c>
    </row>
    <row r="21" spans="1:21" s="10" customFormat="1" x14ac:dyDescent="0.25">
      <c r="A21" s="4" t="s">
        <v>28</v>
      </c>
      <c r="B21" s="32" t="s">
        <v>84</v>
      </c>
      <c r="C21" s="46">
        <v>1</v>
      </c>
      <c r="D21" s="46">
        <v>1</v>
      </c>
      <c r="E21" s="5" t="s">
        <v>46</v>
      </c>
      <c r="F21" s="6" t="s">
        <v>64</v>
      </c>
      <c r="G21" s="9" t="s">
        <v>6</v>
      </c>
      <c r="H21" s="32" t="s">
        <v>75</v>
      </c>
      <c r="I21" s="8">
        <v>1520</v>
      </c>
      <c r="J21" s="64">
        <v>2415</v>
      </c>
      <c r="K21" s="118">
        <f t="shared" si="1"/>
        <v>1504</v>
      </c>
      <c r="L21" s="118">
        <f t="shared" si="2"/>
        <v>2407</v>
      </c>
      <c r="M21" s="191">
        <f>IF(S21=0,CHOOSE(MATCH(B21,{"Galandage";"Fixe";"Coulissant"},0),1080,1020,1080),"")</f>
        <v>1080</v>
      </c>
      <c r="N21" s="102">
        <f t="shared" si="3"/>
        <v>1503.6384</v>
      </c>
      <c r="O21" s="8">
        <v>8</v>
      </c>
      <c r="P21" s="8">
        <v>250</v>
      </c>
      <c r="Q21" s="8">
        <v>26</v>
      </c>
      <c r="R21" s="4" t="s">
        <v>41</v>
      </c>
      <c r="S21" s="8">
        <v>0</v>
      </c>
      <c r="T21" s="8">
        <v>0</v>
      </c>
      <c r="U21" s="4" t="s">
        <v>50</v>
      </c>
    </row>
    <row r="22" spans="1:21" s="17" customFormat="1" x14ac:dyDescent="0.25">
      <c r="A22" s="18" t="s">
        <v>29</v>
      </c>
      <c r="B22" s="18" t="s">
        <v>84</v>
      </c>
      <c r="C22" s="19">
        <v>1</v>
      </c>
      <c r="D22" s="19">
        <v>1</v>
      </c>
      <c r="E22" s="19" t="s">
        <v>46</v>
      </c>
      <c r="F22" s="20" t="s">
        <v>65</v>
      </c>
      <c r="G22" s="24" t="s">
        <v>6</v>
      </c>
      <c r="H22" s="18" t="s">
        <v>75</v>
      </c>
      <c r="I22" s="23">
        <v>1620</v>
      </c>
      <c r="J22" s="104">
        <v>2530</v>
      </c>
      <c r="K22" s="23">
        <f t="shared" si="1"/>
        <v>1520</v>
      </c>
      <c r="L22" s="23">
        <f t="shared" si="2"/>
        <v>2480</v>
      </c>
      <c r="M22" s="192">
        <f>IF(S22=0,CHOOSE(MATCH(B22,{"Galandage";"Fixe";"Coulissant"},0),1080,1020,1080),"")</f>
        <v>1080</v>
      </c>
      <c r="N22" s="109">
        <f t="shared" si="3"/>
        <v>1517.74</v>
      </c>
      <c r="O22" s="23">
        <v>50</v>
      </c>
      <c r="P22" s="23">
        <v>250</v>
      </c>
      <c r="Q22" s="23">
        <v>26</v>
      </c>
      <c r="R22" s="18" t="s">
        <v>41</v>
      </c>
      <c r="S22" s="23">
        <v>0</v>
      </c>
      <c r="T22" s="23">
        <v>0</v>
      </c>
      <c r="U22" s="18" t="s">
        <v>50</v>
      </c>
    </row>
    <row r="23" spans="1:21" s="10" customFormat="1" x14ac:dyDescent="0.25">
      <c r="A23" s="4" t="s">
        <v>30</v>
      </c>
      <c r="B23" s="32" t="s">
        <v>114</v>
      </c>
      <c r="C23" s="46">
        <v>1</v>
      </c>
      <c r="D23" s="46">
        <v>0</v>
      </c>
      <c r="E23" s="5" t="s">
        <v>46</v>
      </c>
      <c r="F23" s="6" t="s">
        <v>66</v>
      </c>
      <c r="G23" s="9" t="s">
        <v>6</v>
      </c>
      <c r="H23" s="32" t="s">
        <v>75</v>
      </c>
      <c r="I23" s="8">
        <v>820</v>
      </c>
      <c r="J23" s="64">
        <v>1510</v>
      </c>
      <c r="K23" s="118">
        <f t="shared" si="1"/>
        <v>804</v>
      </c>
      <c r="L23" s="118">
        <f t="shared" si="2"/>
        <v>1502</v>
      </c>
      <c r="M23" s="191" t="str">
        <f>IF(S23=0,CHOOSE(MATCH(B23,{"Galandage";"Fixe";"Coulissant"},0),1080,1020,1080),"")</f>
        <v/>
      </c>
      <c r="N23" s="102" t="str">
        <f t="shared" si="3"/>
        <v/>
      </c>
      <c r="O23" s="8">
        <v>8</v>
      </c>
      <c r="P23" s="8">
        <v>0</v>
      </c>
      <c r="Q23" s="8">
        <v>26</v>
      </c>
      <c r="R23" s="4" t="s">
        <v>41</v>
      </c>
      <c r="S23" s="8">
        <v>1000</v>
      </c>
      <c r="T23" s="8">
        <v>25</v>
      </c>
      <c r="U23" s="4" t="s">
        <v>42</v>
      </c>
    </row>
    <row r="24" spans="1:21" s="17" customFormat="1" x14ac:dyDescent="0.25">
      <c r="A24" s="18" t="s">
        <v>31</v>
      </c>
      <c r="B24" s="18" t="s">
        <v>59</v>
      </c>
      <c r="C24" s="19">
        <v>1</v>
      </c>
      <c r="D24" s="19">
        <v>0</v>
      </c>
      <c r="E24" s="19" t="s">
        <v>46</v>
      </c>
      <c r="F24" s="20" t="s">
        <v>68</v>
      </c>
      <c r="G24" s="24" t="s">
        <v>6</v>
      </c>
      <c r="H24" s="18" t="s">
        <v>75</v>
      </c>
      <c r="I24" s="23">
        <v>920</v>
      </c>
      <c r="J24" s="104">
        <v>1510</v>
      </c>
      <c r="K24" s="23">
        <f t="shared" si="1"/>
        <v>904</v>
      </c>
      <c r="L24" s="23">
        <f t="shared" si="2"/>
        <v>1502</v>
      </c>
      <c r="M24" s="192">
        <f>IF(S24=0,CHOOSE(MATCH(B24,{"Galandage";"Fixe";"Coulissant"},0),1080,1020,1080),"")</f>
        <v>1020</v>
      </c>
      <c r="N24" s="109" t="str">
        <f t="shared" si="3"/>
        <v/>
      </c>
      <c r="O24" s="23">
        <v>8</v>
      </c>
      <c r="P24" s="23">
        <v>200</v>
      </c>
      <c r="Q24" s="23">
        <v>26</v>
      </c>
      <c r="R24" s="18" t="s">
        <v>61</v>
      </c>
      <c r="S24" s="23">
        <v>0</v>
      </c>
      <c r="T24" s="23">
        <v>25</v>
      </c>
      <c r="U24" s="18" t="s">
        <v>42</v>
      </c>
    </row>
    <row r="25" spans="1:21" s="10" customFormat="1" x14ac:dyDescent="0.25">
      <c r="A25" s="4" t="s">
        <v>32</v>
      </c>
      <c r="B25" s="32" t="s">
        <v>59</v>
      </c>
      <c r="C25" s="46">
        <v>1</v>
      </c>
      <c r="D25" s="46">
        <v>0</v>
      </c>
      <c r="E25" s="5" t="s">
        <v>46</v>
      </c>
      <c r="F25" s="6" t="s">
        <v>67</v>
      </c>
      <c r="G25" s="9" t="s">
        <v>6</v>
      </c>
      <c r="H25" s="32" t="s">
        <v>75</v>
      </c>
      <c r="I25" s="8">
        <v>2460</v>
      </c>
      <c r="J25" s="64">
        <v>2590</v>
      </c>
      <c r="K25" s="118">
        <f t="shared" si="1"/>
        <v>2444</v>
      </c>
      <c r="L25" s="118">
        <f t="shared" si="2"/>
        <v>2582</v>
      </c>
      <c r="M25" s="191">
        <f>IF(S25=0,CHOOSE(MATCH(B25,{"Galandage";"Fixe";"Coulissant"},0),1080,1020,1080),"")</f>
        <v>1020</v>
      </c>
      <c r="N25" s="102" t="str">
        <f t="shared" si="3"/>
        <v/>
      </c>
      <c r="O25" s="8">
        <v>8</v>
      </c>
      <c r="P25" s="8">
        <v>200</v>
      </c>
      <c r="Q25" s="8">
        <v>26</v>
      </c>
      <c r="R25" s="4" t="s">
        <v>61</v>
      </c>
      <c r="S25" s="8">
        <v>0</v>
      </c>
      <c r="T25" s="8">
        <v>25</v>
      </c>
      <c r="U25" s="4" t="s">
        <v>42</v>
      </c>
    </row>
    <row r="26" spans="1:21" s="17" customFormat="1" x14ac:dyDescent="0.25">
      <c r="A26" s="18" t="s">
        <v>33</v>
      </c>
      <c r="B26" s="18" t="s">
        <v>59</v>
      </c>
      <c r="C26" s="19">
        <v>1</v>
      </c>
      <c r="D26" s="19">
        <v>0</v>
      </c>
      <c r="E26" s="19" t="s">
        <v>46</v>
      </c>
      <c r="F26" s="20" t="s">
        <v>67</v>
      </c>
      <c r="G26" s="24" t="s">
        <v>6</v>
      </c>
      <c r="H26" s="18" t="s">
        <v>75</v>
      </c>
      <c r="I26" s="23">
        <v>2420</v>
      </c>
      <c r="J26" s="104">
        <v>2590</v>
      </c>
      <c r="K26" s="23">
        <f t="shared" si="1"/>
        <v>2404</v>
      </c>
      <c r="L26" s="23">
        <f t="shared" si="2"/>
        <v>2582</v>
      </c>
      <c r="M26" s="192">
        <f>IF(S26=0,CHOOSE(MATCH(B26,{"Galandage";"Fixe";"Coulissant"},0),1080,1020,1080),"")</f>
        <v>1020</v>
      </c>
      <c r="N26" s="109" t="str">
        <f t="shared" si="3"/>
        <v/>
      </c>
      <c r="O26" s="23">
        <v>8</v>
      </c>
      <c r="P26" s="23">
        <v>200</v>
      </c>
      <c r="Q26" s="23">
        <v>26</v>
      </c>
      <c r="R26" s="18" t="s">
        <v>61</v>
      </c>
      <c r="S26" s="23">
        <v>0</v>
      </c>
      <c r="T26" s="23">
        <v>25</v>
      </c>
      <c r="U26" s="18" t="s">
        <v>42</v>
      </c>
    </row>
    <row r="27" spans="1:21" s="10" customFormat="1" x14ac:dyDescent="0.25">
      <c r="A27" s="4" t="s">
        <v>34</v>
      </c>
      <c r="B27" s="32" t="s">
        <v>59</v>
      </c>
      <c r="C27" s="46">
        <v>1</v>
      </c>
      <c r="D27" s="46">
        <v>0</v>
      </c>
      <c r="E27" s="5" t="s">
        <v>46</v>
      </c>
      <c r="F27" s="6" t="s">
        <v>67</v>
      </c>
      <c r="G27" s="9" t="s">
        <v>6</v>
      </c>
      <c r="H27" s="32" t="s">
        <v>75</v>
      </c>
      <c r="I27" s="8">
        <v>2420</v>
      </c>
      <c r="J27" s="64">
        <v>2590</v>
      </c>
      <c r="K27" s="118">
        <f t="shared" si="1"/>
        <v>2404</v>
      </c>
      <c r="L27" s="118">
        <f t="shared" si="2"/>
        <v>2582</v>
      </c>
      <c r="M27" s="191">
        <f>IF(S27=0,CHOOSE(MATCH(B27,{"Galandage";"Fixe";"Coulissant"},0),1080,1020,1080),"")</f>
        <v>1020</v>
      </c>
      <c r="N27" s="102" t="str">
        <f t="shared" si="3"/>
        <v/>
      </c>
      <c r="O27" s="8">
        <v>8</v>
      </c>
      <c r="P27" s="8">
        <v>200</v>
      </c>
      <c r="Q27" s="8">
        <v>26</v>
      </c>
      <c r="R27" s="4" t="s">
        <v>61</v>
      </c>
      <c r="S27" s="8">
        <v>0</v>
      </c>
      <c r="T27" s="8">
        <v>25</v>
      </c>
      <c r="U27" s="4" t="s">
        <v>42</v>
      </c>
    </row>
    <row r="28" spans="1:21" s="17" customFormat="1" x14ac:dyDescent="0.25">
      <c r="A28" s="18" t="s">
        <v>35</v>
      </c>
      <c r="B28" s="18" t="s">
        <v>87</v>
      </c>
      <c r="C28" s="19">
        <v>4</v>
      </c>
      <c r="D28" s="19">
        <v>2</v>
      </c>
      <c r="E28" s="19" t="s">
        <v>46</v>
      </c>
      <c r="F28" s="20" t="s">
        <v>67</v>
      </c>
      <c r="G28" s="24" t="s">
        <v>6</v>
      </c>
      <c r="H28" s="18" t="s">
        <v>75</v>
      </c>
      <c r="I28" s="23">
        <v>8895</v>
      </c>
      <c r="J28" s="104">
        <v>2595</v>
      </c>
      <c r="K28" s="23">
        <f t="shared" si="1"/>
        <v>8879</v>
      </c>
      <c r="L28" s="23">
        <f t="shared" si="2"/>
        <v>2587</v>
      </c>
      <c r="M28" s="192">
        <f>IF(S28=0,CHOOSE(MATCH(B28,{"Galandage";"Fixe";"Coulissant"},0),1080,1020,1080),"")</f>
        <v>1080</v>
      </c>
      <c r="N28" s="109" t="str">
        <f t="shared" si="3"/>
        <v/>
      </c>
      <c r="O28" s="23">
        <v>8</v>
      </c>
      <c r="P28" s="23">
        <v>200</v>
      </c>
      <c r="Q28" s="23">
        <v>26</v>
      </c>
      <c r="R28" s="18" t="s">
        <v>61</v>
      </c>
      <c r="S28" s="23">
        <v>0</v>
      </c>
      <c r="T28" s="23">
        <v>0</v>
      </c>
      <c r="U28" s="18" t="s">
        <v>42</v>
      </c>
    </row>
    <row r="29" spans="1:21" s="10" customFormat="1" x14ac:dyDescent="0.25">
      <c r="A29" s="4" t="s">
        <v>36</v>
      </c>
      <c r="B29" s="32" t="s">
        <v>59</v>
      </c>
      <c r="C29" s="46">
        <v>1</v>
      </c>
      <c r="D29" s="46">
        <v>1</v>
      </c>
      <c r="E29" s="5" t="s">
        <v>46</v>
      </c>
      <c r="F29" s="6" t="s">
        <v>67</v>
      </c>
      <c r="G29" s="9" t="s">
        <v>6</v>
      </c>
      <c r="H29" s="32" t="s">
        <v>75</v>
      </c>
      <c r="I29" s="8">
        <v>2445</v>
      </c>
      <c r="J29" s="64">
        <v>2595</v>
      </c>
      <c r="K29" s="118">
        <f t="shared" si="1"/>
        <v>2429</v>
      </c>
      <c r="L29" s="118">
        <f t="shared" si="2"/>
        <v>2587</v>
      </c>
      <c r="M29" s="191">
        <f>IF(S29=0,CHOOSE(MATCH(B29,{"Galandage";"Fixe";"Coulissant"},0),1080,1020,1080),"")</f>
        <v>1020</v>
      </c>
      <c r="N29" s="102" t="str">
        <f t="shared" si="3"/>
        <v/>
      </c>
      <c r="O29" s="8">
        <v>8</v>
      </c>
      <c r="P29" s="8">
        <v>200</v>
      </c>
      <c r="Q29" s="8">
        <v>26</v>
      </c>
      <c r="R29" s="4" t="s">
        <v>61</v>
      </c>
      <c r="S29" s="8">
        <v>0</v>
      </c>
      <c r="T29" s="8">
        <v>25</v>
      </c>
      <c r="U29" s="4" t="s">
        <v>42</v>
      </c>
    </row>
    <row r="30" spans="1:21" s="17" customFormat="1" x14ac:dyDescent="0.25">
      <c r="A30" s="18" t="s">
        <v>37</v>
      </c>
      <c r="B30" s="18" t="s">
        <v>59</v>
      </c>
      <c r="C30" s="19">
        <v>1</v>
      </c>
      <c r="D30" s="19">
        <v>1</v>
      </c>
      <c r="E30" s="19" t="s">
        <v>46</v>
      </c>
      <c r="F30" s="20" t="s">
        <v>67</v>
      </c>
      <c r="G30" s="24" t="s">
        <v>6</v>
      </c>
      <c r="H30" s="18" t="s">
        <v>75</v>
      </c>
      <c r="I30" s="23">
        <v>2430</v>
      </c>
      <c r="J30" s="104">
        <v>2595</v>
      </c>
      <c r="K30" s="23">
        <f t="shared" si="1"/>
        <v>2414</v>
      </c>
      <c r="L30" s="23">
        <f t="shared" si="2"/>
        <v>2587</v>
      </c>
      <c r="M30" s="192">
        <f>IF(S30=0,CHOOSE(MATCH(B30,{"Galandage";"Fixe";"Coulissant"},0),1080,1020,1080),"")</f>
        <v>1020</v>
      </c>
      <c r="N30" s="109" t="str">
        <f t="shared" si="3"/>
        <v/>
      </c>
      <c r="O30" s="23">
        <v>8</v>
      </c>
      <c r="P30" s="23">
        <v>200</v>
      </c>
      <c r="Q30" s="23">
        <v>26</v>
      </c>
      <c r="R30" s="18" t="s">
        <v>61</v>
      </c>
      <c r="S30" s="23">
        <v>0</v>
      </c>
      <c r="T30" s="23">
        <v>25</v>
      </c>
      <c r="U30" s="18" t="s">
        <v>42</v>
      </c>
    </row>
    <row r="31" spans="1:21" s="10" customFormat="1" x14ac:dyDescent="0.25">
      <c r="A31" s="4" t="s">
        <v>38</v>
      </c>
      <c r="B31" s="32" t="s">
        <v>59</v>
      </c>
      <c r="C31" s="46">
        <v>1</v>
      </c>
      <c r="D31" s="46">
        <v>1</v>
      </c>
      <c r="E31" s="5" t="s">
        <v>46</v>
      </c>
      <c r="F31" s="6" t="s">
        <v>67</v>
      </c>
      <c r="G31" s="9" t="s">
        <v>6</v>
      </c>
      <c r="H31" s="32" t="s">
        <v>75</v>
      </c>
      <c r="I31" s="8">
        <v>2445</v>
      </c>
      <c r="J31" s="64">
        <v>2595</v>
      </c>
      <c r="K31" s="118">
        <f t="shared" si="1"/>
        <v>2429</v>
      </c>
      <c r="L31" s="118">
        <f t="shared" si="2"/>
        <v>2587</v>
      </c>
      <c r="M31" s="191">
        <f>IF(S31=0,CHOOSE(MATCH(B31,{"Galandage";"Fixe";"Coulissant"},0),1080,1020,1080),"")</f>
        <v>1020</v>
      </c>
      <c r="N31" s="102" t="str">
        <f t="shared" si="3"/>
        <v/>
      </c>
      <c r="O31" s="8">
        <v>8</v>
      </c>
      <c r="P31" s="8">
        <v>200</v>
      </c>
      <c r="Q31" s="8">
        <v>26</v>
      </c>
      <c r="R31" s="4" t="s">
        <v>61</v>
      </c>
      <c r="S31" s="8">
        <v>0</v>
      </c>
      <c r="T31" s="8">
        <v>25</v>
      </c>
      <c r="U31" s="4" t="s">
        <v>42</v>
      </c>
    </row>
    <row r="32" spans="1:21" s="17" customFormat="1" x14ac:dyDescent="0.25">
      <c r="A32" s="18" t="s">
        <v>69</v>
      </c>
      <c r="B32" s="18" t="s">
        <v>87</v>
      </c>
      <c r="C32" s="19">
        <v>4</v>
      </c>
      <c r="D32" s="19">
        <v>2</v>
      </c>
      <c r="E32" s="19" t="s">
        <v>46</v>
      </c>
      <c r="F32" s="20" t="s">
        <v>67</v>
      </c>
      <c r="G32" s="24" t="s">
        <v>6</v>
      </c>
      <c r="H32" s="18" t="s">
        <v>75</v>
      </c>
      <c r="I32" s="101">
        <v>8438</v>
      </c>
      <c r="J32" s="106">
        <v>2985</v>
      </c>
      <c r="K32" s="23">
        <f t="shared" si="1"/>
        <v>8422</v>
      </c>
      <c r="L32" s="23">
        <f t="shared" si="2"/>
        <v>2977</v>
      </c>
      <c r="M32" s="192">
        <f>IF(S32=0,CHOOSE(MATCH(B32,{"Galandage";"Fixe";"Coulissant"},0),1080,1020,1080),"")</f>
        <v>1080</v>
      </c>
      <c r="N32" s="109" t="str">
        <f t="shared" si="3"/>
        <v/>
      </c>
      <c r="O32" s="23">
        <v>8</v>
      </c>
      <c r="P32" s="23">
        <v>200</v>
      </c>
      <c r="Q32" s="23">
        <v>26</v>
      </c>
      <c r="R32" s="18" t="s">
        <v>61</v>
      </c>
      <c r="S32" s="23">
        <v>0</v>
      </c>
      <c r="T32" s="23">
        <v>0</v>
      </c>
      <c r="U32" s="18" t="s">
        <v>42</v>
      </c>
    </row>
    <row r="33" spans="1:21" s="10" customFormat="1" x14ac:dyDescent="0.25">
      <c r="A33" s="4"/>
      <c r="B33" s="32" t="s">
        <v>70</v>
      </c>
      <c r="C33" s="46">
        <v>1</v>
      </c>
      <c r="D33" s="46">
        <v>0</v>
      </c>
      <c r="E33" s="5" t="s">
        <v>46</v>
      </c>
      <c r="F33" s="6" t="s">
        <v>66</v>
      </c>
      <c r="G33" s="9" t="s">
        <v>6</v>
      </c>
      <c r="H33" s="32" t="s">
        <v>75</v>
      </c>
      <c r="I33" s="8" t="s">
        <v>71</v>
      </c>
      <c r="J33" s="64">
        <v>2460</v>
      </c>
      <c r="K33" s="118" t="e">
        <f t="shared" si="1"/>
        <v>#VALUE!</v>
      </c>
      <c r="L33" s="118">
        <f t="shared" si="2"/>
        <v>2452</v>
      </c>
      <c r="M33" s="191" t="e">
        <f>IF(S33=0,CHOOSE(MATCH(B33,{"Galandage";"Fixe";"Coulissant"},0),1080,1020,1080),"")</f>
        <v>#N/A</v>
      </c>
      <c r="N33" s="102" t="str">
        <f t="shared" si="3"/>
        <v/>
      </c>
      <c r="O33" s="8">
        <v>8</v>
      </c>
      <c r="P33" s="4" t="s">
        <v>61</v>
      </c>
      <c r="Q33" s="4" t="s">
        <v>61</v>
      </c>
      <c r="R33" s="4" t="s">
        <v>61</v>
      </c>
      <c r="S33" s="8">
        <v>0</v>
      </c>
      <c r="T33" s="8"/>
      <c r="U33" s="4" t="s">
        <v>42</v>
      </c>
    </row>
    <row r="34" spans="1:21" s="17" customFormat="1" ht="15.75" thickBot="1" x14ac:dyDescent="0.3">
      <c r="A34" s="11"/>
      <c r="B34" s="11" t="s">
        <v>70</v>
      </c>
      <c r="C34" s="12">
        <v>1</v>
      </c>
      <c r="D34" s="12">
        <v>0</v>
      </c>
      <c r="E34" s="12" t="s">
        <v>46</v>
      </c>
      <c r="F34" s="13" t="s">
        <v>66</v>
      </c>
      <c r="G34" s="16" t="s">
        <v>6</v>
      </c>
      <c r="H34" s="11" t="s">
        <v>75</v>
      </c>
      <c r="I34" s="15">
        <v>3010</v>
      </c>
      <c r="J34" s="107">
        <v>2465</v>
      </c>
      <c r="K34" s="15">
        <f t="shared" si="1"/>
        <v>2994</v>
      </c>
      <c r="L34" s="15">
        <f t="shared" si="2"/>
        <v>2457</v>
      </c>
      <c r="M34" s="193" t="e">
        <f>IF(S34=0,CHOOSE(MATCH(B34,{"Galandage";"Fixe";"Coulissant"},0),1080,1020,1080),"")</f>
        <v>#N/A</v>
      </c>
      <c r="N34" s="110" t="str">
        <f t="shared" si="3"/>
        <v/>
      </c>
      <c r="O34" s="15">
        <v>8</v>
      </c>
      <c r="P34" s="11" t="s">
        <v>61</v>
      </c>
      <c r="Q34" s="11" t="s">
        <v>61</v>
      </c>
      <c r="R34" s="11" t="s">
        <v>61</v>
      </c>
      <c r="S34" s="15">
        <v>0</v>
      </c>
      <c r="T34" s="15"/>
      <c r="U34" s="11" t="s">
        <v>42</v>
      </c>
    </row>
    <row r="35" spans="1:21" x14ac:dyDescent="0.25">
      <c r="B35" s="153"/>
    </row>
    <row r="39" spans="1:21" s="35" customFormat="1" ht="14.25" customHeight="1" x14ac:dyDescent="0.25">
      <c r="M39" s="87"/>
    </row>
    <row r="40" spans="1:21" s="35" customFormat="1" x14ac:dyDescent="0.25">
      <c r="M40" s="87"/>
    </row>
    <row r="41" spans="1:21" s="35" customFormat="1" x14ac:dyDescent="0.25">
      <c r="E41" s="86"/>
      <c r="F41" s="86"/>
      <c r="H41" s="87"/>
      <c r="I41" s="88"/>
      <c r="J41" s="88"/>
      <c r="K41" s="88"/>
      <c r="L41" s="88"/>
      <c r="M41" s="87"/>
      <c r="N41" s="87"/>
      <c r="O41" s="87"/>
      <c r="P41" s="87"/>
      <c r="Q41" s="87"/>
      <c r="R41" s="87"/>
      <c r="U41" s="87"/>
    </row>
    <row r="42" spans="1:21" s="35" customFormat="1" x14ac:dyDescent="0.25">
      <c r="M42" s="87"/>
    </row>
    <row r="43" spans="1:21" s="35" customFormat="1" x14ac:dyDescent="0.25">
      <c r="M43" s="87"/>
    </row>
    <row r="44" spans="1:21" s="35" customFormat="1" x14ac:dyDescent="0.25">
      <c r="M44" s="87"/>
    </row>
    <row r="45" spans="1:21" s="35" customFormat="1" x14ac:dyDescent="0.25">
      <c r="E45" s="86"/>
      <c r="F45" s="86"/>
      <c r="H45" s="87"/>
      <c r="I45" s="88"/>
      <c r="J45" s="88"/>
      <c r="K45" s="88"/>
      <c r="L45" s="88"/>
      <c r="M45" s="87"/>
      <c r="N45" s="87"/>
      <c r="O45" s="87"/>
      <c r="P45" s="87"/>
      <c r="Q45" s="87"/>
      <c r="R45" s="87"/>
      <c r="U45" s="87"/>
    </row>
    <row r="46" spans="1:21" s="35" customFormat="1" x14ac:dyDescent="0.25">
      <c r="M46" s="87"/>
    </row>
    <row r="47" spans="1:21" s="35" customFormat="1" x14ac:dyDescent="0.25">
      <c r="E47" s="86"/>
      <c r="F47" s="86"/>
      <c r="H47" s="87"/>
      <c r="I47" s="88"/>
      <c r="J47" s="88"/>
      <c r="K47" s="88"/>
      <c r="L47" s="88"/>
      <c r="M47" s="87"/>
      <c r="N47" s="87"/>
      <c r="O47" s="87"/>
      <c r="P47" s="87"/>
      <c r="Q47" s="87"/>
      <c r="R47" s="87"/>
      <c r="U47" s="87"/>
    </row>
    <row r="48" spans="1:21" s="35" customFormat="1" x14ac:dyDescent="0.25">
      <c r="M48" s="87"/>
    </row>
    <row r="49" spans="5:21" s="35" customFormat="1" x14ac:dyDescent="0.25">
      <c r="E49" s="86"/>
      <c r="F49" s="86"/>
      <c r="H49" s="87"/>
      <c r="I49" s="88"/>
      <c r="J49" s="88"/>
      <c r="K49" s="88"/>
      <c r="L49" s="88"/>
      <c r="M49" s="87"/>
      <c r="N49" s="87"/>
      <c r="O49" s="87"/>
      <c r="P49" s="87"/>
      <c r="Q49" s="87"/>
      <c r="R49" s="87"/>
      <c r="U49" s="87"/>
    </row>
    <row r="50" spans="5:21" s="35" customFormat="1" x14ac:dyDescent="0.25">
      <c r="M50" s="87"/>
    </row>
    <row r="51" spans="5:21" s="35" customFormat="1" x14ac:dyDescent="0.25">
      <c r="E51" s="86"/>
      <c r="F51" s="86"/>
      <c r="H51" s="87"/>
      <c r="I51" s="88"/>
      <c r="J51" s="88"/>
      <c r="K51" s="88"/>
      <c r="L51" s="88"/>
      <c r="M51" s="87"/>
      <c r="N51" s="87"/>
      <c r="O51" s="87"/>
      <c r="P51" s="87"/>
      <c r="Q51" s="87"/>
      <c r="R51" s="87"/>
      <c r="U51" s="87"/>
    </row>
    <row r="52" spans="5:21" s="35" customFormat="1" x14ac:dyDescent="0.25">
      <c r="M52" s="87"/>
    </row>
    <row r="53" spans="5:21" s="35" customFormat="1" x14ac:dyDescent="0.25">
      <c r="E53" s="86"/>
      <c r="F53" s="86"/>
      <c r="H53" s="87"/>
      <c r="I53" s="88"/>
      <c r="J53" s="88"/>
      <c r="K53" s="88"/>
      <c r="L53" s="88"/>
      <c r="M53" s="87"/>
      <c r="N53" s="87"/>
      <c r="O53" s="87"/>
      <c r="P53" s="87"/>
      <c r="Q53" s="87"/>
      <c r="R53" s="87"/>
      <c r="U53" s="87"/>
    </row>
    <row r="54" spans="5:21" s="35" customFormat="1" x14ac:dyDescent="0.25">
      <c r="M54" s="87"/>
    </row>
    <row r="55" spans="5:21" s="35" customFormat="1" x14ac:dyDescent="0.25">
      <c r="E55" s="86"/>
      <c r="F55" s="86"/>
      <c r="H55" s="87"/>
      <c r="I55" s="88"/>
      <c r="J55" s="88"/>
      <c r="K55" s="88"/>
      <c r="L55" s="88"/>
      <c r="M55" s="87"/>
      <c r="N55" s="87"/>
      <c r="O55" s="87"/>
      <c r="P55" s="87"/>
      <c r="Q55" s="87"/>
      <c r="R55" s="87"/>
      <c r="U55" s="87"/>
    </row>
    <row r="56" spans="5:21" s="35" customFormat="1" x14ac:dyDescent="0.25">
      <c r="M56" s="87"/>
    </row>
    <row r="57" spans="5:21" s="35" customFormat="1" x14ac:dyDescent="0.25">
      <c r="E57" s="86"/>
      <c r="F57" s="86"/>
      <c r="H57" s="87"/>
      <c r="I57" s="88"/>
      <c r="J57" s="88"/>
      <c r="K57" s="88"/>
      <c r="L57" s="88"/>
      <c r="M57" s="87"/>
      <c r="N57" s="87"/>
      <c r="O57" s="87"/>
      <c r="P57" s="87"/>
      <c r="Q57" s="87"/>
      <c r="R57" s="87"/>
      <c r="U57" s="87"/>
    </row>
    <row r="58" spans="5:21" s="35" customFormat="1" x14ac:dyDescent="0.25">
      <c r="M58" s="87"/>
    </row>
    <row r="59" spans="5:21" s="35" customFormat="1" x14ac:dyDescent="0.25">
      <c r="E59" s="86"/>
      <c r="F59" s="86"/>
      <c r="H59" s="87"/>
      <c r="I59" s="88"/>
      <c r="J59" s="88"/>
      <c r="K59" s="88"/>
      <c r="L59" s="88"/>
      <c r="M59" s="87"/>
      <c r="N59" s="87"/>
      <c r="O59" s="87"/>
      <c r="P59" s="87"/>
      <c r="Q59" s="87"/>
      <c r="R59" s="87"/>
      <c r="U59" s="87"/>
    </row>
    <row r="60" spans="5:21" s="35" customFormat="1" x14ac:dyDescent="0.25">
      <c r="M60" s="87"/>
    </row>
    <row r="61" spans="5:21" s="35" customFormat="1" x14ac:dyDescent="0.25">
      <c r="E61" s="86"/>
      <c r="F61" s="86"/>
      <c r="H61" s="87"/>
      <c r="I61" s="88"/>
      <c r="J61" s="88"/>
      <c r="K61" s="88"/>
      <c r="L61" s="88"/>
      <c r="M61" s="87"/>
      <c r="N61" s="87"/>
      <c r="O61" s="87"/>
      <c r="P61" s="87"/>
      <c r="Q61" s="87"/>
      <c r="R61" s="87"/>
      <c r="U61" s="87"/>
    </row>
    <row r="62" spans="5:21" s="35" customFormat="1" x14ac:dyDescent="0.25">
      <c r="M62" s="87"/>
    </row>
    <row r="63" spans="5:21" s="35" customFormat="1" x14ac:dyDescent="0.25">
      <c r="E63" s="86"/>
      <c r="F63" s="86"/>
      <c r="H63" s="87"/>
      <c r="I63" s="88"/>
      <c r="J63" s="88"/>
      <c r="K63" s="88"/>
      <c r="L63" s="88"/>
      <c r="M63" s="87"/>
      <c r="N63" s="87"/>
      <c r="O63" s="87"/>
      <c r="P63" s="87"/>
      <c r="Q63" s="87"/>
      <c r="R63" s="87"/>
      <c r="U63" s="87"/>
    </row>
    <row r="64" spans="5:21" s="35" customFormat="1" x14ac:dyDescent="0.25">
      <c r="M64" s="87"/>
    </row>
    <row r="65" spans="5:21" s="35" customFormat="1" x14ac:dyDescent="0.25">
      <c r="E65" s="86"/>
      <c r="F65" s="86"/>
      <c r="H65" s="87"/>
      <c r="I65" s="88"/>
      <c r="J65" s="88"/>
      <c r="K65" s="88"/>
      <c r="L65" s="88"/>
      <c r="M65" s="87"/>
      <c r="N65" s="87"/>
      <c r="O65" s="87"/>
      <c r="P65" s="87"/>
      <c r="Q65" s="87"/>
      <c r="R65" s="87"/>
      <c r="U65" s="87"/>
    </row>
    <row r="66" spans="5:21" s="35" customFormat="1" x14ac:dyDescent="0.25">
      <c r="M66" s="87"/>
    </row>
    <row r="67" spans="5:21" s="35" customFormat="1" x14ac:dyDescent="0.25">
      <c r="E67" s="86"/>
      <c r="F67" s="86"/>
      <c r="H67" s="87"/>
      <c r="I67" s="88"/>
      <c r="J67" s="88"/>
      <c r="K67" s="88"/>
      <c r="L67" s="88"/>
      <c r="M67" s="87"/>
      <c r="N67" s="87"/>
      <c r="O67" s="87"/>
      <c r="P67" s="87"/>
      <c r="Q67" s="87"/>
      <c r="R67" s="87"/>
      <c r="U67" s="87"/>
    </row>
    <row r="68" spans="5:21" s="35" customFormat="1" x14ac:dyDescent="0.25">
      <c r="M68" s="87"/>
    </row>
    <row r="69" spans="5:21" s="35" customFormat="1" x14ac:dyDescent="0.25">
      <c r="E69" s="86"/>
      <c r="F69" s="86"/>
      <c r="H69" s="87"/>
      <c r="I69" s="88"/>
      <c r="J69" s="88"/>
      <c r="K69" s="88"/>
      <c r="L69" s="88"/>
      <c r="M69" s="87"/>
      <c r="N69" s="87"/>
      <c r="O69" s="87"/>
      <c r="P69" s="87"/>
      <c r="Q69" s="87"/>
      <c r="R69" s="87"/>
      <c r="U69" s="87"/>
    </row>
    <row r="70" spans="5:21" s="35" customFormat="1" x14ac:dyDescent="0.25">
      <c r="M70" s="87"/>
    </row>
    <row r="71" spans="5:21" s="35" customFormat="1" x14ac:dyDescent="0.25">
      <c r="E71" s="86"/>
      <c r="F71" s="86"/>
      <c r="H71" s="87"/>
      <c r="I71" s="88"/>
      <c r="J71" s="88"/>
      <c r="K71" s="88"/>
      <c r="L71" s="88"/>
      <c r="M71" s="87"/>
      <c r="N71" s="87"/>
      <c r="O71" s="87"/>
      <c r="P71" s="87"/>
      <c r="Q71" s="87"/>
      <c r="R71" s="87"/>
      <c r="U71" s="87"/>
    </row>
    <row r="72" spans="5:21" s="35" customFormat="1" x14ac:dyDescent="0.25">
      <c r="M72" s="87"/>
    </row>
    <row r="73" spans="5:21" s="35" customFormat="1" x14ac:dyDescent="0.25">
      <c r="E73" s="86"/>
      <c r="F73" s="86"/>
      <c r="H73" s="87"/>
      <c r="I73" s="88"/>
      <c r="J73" s="88"/>
      <c r="K73" s="88"/>
      <c r="L73" s="88"/>
      <c r="M73" s="87"/>
      <c r="N73" s="87"/>
      <c r="O73" s="87"/>
      <c r="P73" s="87"/>
      <c r="Q73" s="87"/>
      <c r="R73" s="87"/>
      <c r="U73" s="87"/>
    </row>
    <row r="74" spans="5:21" s="35" customFormat="1" x14ac:dyDescent="0.25">
      <c r="M74" s="87"/>
    </row>
    <row r="76" spans="5:21" x14ac:dyDescent="0.25">
      <c r="H76"/>
      <c r="I76" s="33"/>
      <c r="N76" s="3"/>
      <c r="S76" s="1"/>
      <c r="T76" s="1"/>
      <c r="U76"/>
    </row>
  </sheetData>
  <pageMargins left="0.23622047244094491" right="0.23622047244094491" top="0.74803149606299213" bottom="0.74803149606299213" header="0.31496062992125984" footer="0.31496062992125984"/>
  <pageSetup paperSize="8" scale="7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DF470-0FB7-48ED-91D5-AB788EB4DB34}">
  <sheetPr codeName="Feuil3">
    <pageSetUpPr fitToPage="1"/>
  </sheetPr>
  <dimension ref="A1:AI35"/>
  <sheetViews>
    <sheetView topLeftCell="B1" zoomScaleNormal="100" zoomScalePageLayoutView="75" workbookViewId="0">
      <selection activeCell="AC28" sqref="AC28"/>
    </sheetView>
  </sheetViews>
  <sheetFormatPr baseColWidth="10" defaultColWidth="11.42578125" defaultRowHeight="15" x14ac:dyDescent="0.25"/>
  <cols>
    <col min="1" max="1" width="9.140625" customWidth="1"/>
    <col min="2" max="2" width="14.7109375" customWidth="1"/>
    <col min="3" max="3" width="9.5703125" customWidth="1"/>
    <col min="4" max="4" width="7.140625" customWidth="1"/>
    <col min="6" max="6" width="8.5703125" customWidth="1"/>
    <col min="7" max="7" width="11.28515625" customWidth="1"/>
    <col min="8" max="9" width="13.140625" customWidth="1"/>
    <col min="10" max="10" width="9" customWidth="1"/>
    <col min="12" max="12" width="9.140625" customWidth="1"/>
    <col min="13" max="13" width="9.28515625" style="1" customWidth="1"/>
    <col min="14" max="14" width="8.42578125" style="1" customWidth="1"/>
    <col min="15" max="15" width="9.140625" customWidth="1"/>
    <col min="16" max="16" width="11.85546875" style="3" customWidth="1"/>
    <col min="17" max="17" width="9.7109375" customWidth="1"/>
    <col min="19" max="19" width="20.140625" customWidth="1"/>
    <col min="20" max="20" width="12.7109375" style="1" customWidth="1"/>
    <col min="21" max="21" width="10.140625" style="1" customWidth="1"/>
    <col min="22" max="22" width="12.7109375" style="1" customWidth="1"/>
    <col min="23" max="23" width="11.42578125" style="1"/>
    <col min="24" max="24" width="7.85546875" style="1" customWidth="1"/>
    <col min="25" max="26" width="14.5703125" style="1" customWidth="1"/>
    <col min="27" max="27" width="11.42578125" style="1"/>
    <col min="29" max="29" width="12.5703125" bestFit="1" customWidth="1"/>
  </cols>
  <sheetData>
    <row r="1" spans="1:35" s="85" customFormat="1" ht="43.5" customHeight="1" thickBot="1" x14ac:dyDescent="0.3">
      <c r="A1" s="148" t="s">
        <v>4</v>
      </c>
      <c r="B1" s="148" t="s">
        <v>1</v>
      </c>
      <c r="C1" s="140" t="s">
        <v>82</v>
      </c>
      <c r="D1" s="140" t="s">
        <v>83</v>
      </c>
      <c r="E1" s="148" t="s">
        <v>90</v>
      </c>
      <c r="F1" s="149" t="s">
        <v>86</v>
      </c>
      <c r="G1" s="150" t="s">
        <v>7</v>
      </c>
      <c r="H1" s="150" t="s">
        <v>8</v>
      </c>
      <c r="I1" s="150" t="s">
        <v>74</v>
      </c>
      <c r="J1" s="148" t="s">
        <v>88</v>
      </c>
      <c r="K1" s="148" t="s">
        <v>91</v>
      </c>
      <c r="L1" s="151" t="s">
        <v>76</v>
      </c>
      <c r="M1" s="148" t="s">
        <v>77</v>
      </c>
      <c r="N1" s="148" t="s">
        <v>78</v>
      </c>
      <c r="O1" s="150" t="s">
        <v>79</v>
      </c>
      <c r="P1" s="150" t="s">
        <v>89</v>
      </c>
      <c r="Q1" s="148" t="s">
        <v>80</v>
      </c>
      <c r="R1" s="148" t="s">
        <v>81</v>
      </c>
      <c r="S1" s="148" t="s">
        <v>79</v>
      </c>
      <c r="T1" s="148" t="s">
        <v>92</v>
      </c>
      <c r="U1" s="148" t="s">
        <v>118</v>
      </c>
      <c r="V1" s="148" t="s">
        <v>94</v>
      </c>
      <c r="W1" s="148" t="s">
        <v>95</v>
      </c>
      <c r="X1" s="148" t="s">
        <v>96</v>
      </c>
      <c r="Y1" s="148" t="s">
        <v>100</v>
      </c>
      <c r="Z1" s="148" t="s">
        <v>99</v>
      </c>
      <c r="AA1" s="148" t="s">
        <v>1</v>
      </c>
      <c r="AB1" s="174" t="s">
        <v>143</v>
      </c>
      <c r="AC1" s="174" t="s">
        <v>145</v>
      </c>
      <c r="AD1" s="174" t="s">
        <v>146</v>
      </c>
      <c r="AE1" s="174" t="s">
        <v>147</v>
      </c>
      <c r="AF1" s="174" t="s">
        <v>144</v>
      </c>
      <c r="AG1" s="174" t="s">
        <v>192</v>
      </c>
      <c r="AH1" s="174" t="s">
        <v>193</v>
      </c>
      <c r="AI1" s="174" t="s">
        <v>194</v>
      </c>
    </row>
    <row r="2" spans="1:35" ht="15.75" thickBot="1" x14ac:dyDescent="0.3">
      <c r="A2" s="112" t="str">
        <f>RELEVER!A2</f>
        <v>ME01</v>
      </c>
      <c r="B2" s="112" t="str">
        <f>RELEVER!B2</f>
        <v>Galandage</v>
      </c>
      <c r="C2" s="113">
        <v>1</v>
      </c>
      <c r="D2" s="113">
        <v>1</v>
      </c>
      <c r="E2" s="114"/>
      <c r="F2" s="114">
        <v>54.4</v>
      </c>
      <c r="G2" s="115">
        <f>RELEVER!I2</f>
        <v>943</v>
      </c>
      <c r="H2" s="119">
        <f>RELEVER!J2</f>
        <v>2410</v>
      </c>
      <c r="I2" s="119">
        <f>G2+15</f>
        <v>958</v>
      </c>
      <c r="J2" s="119">
        <v>0</v>
      </c>
      <c r="K2" s="122" t="s">
        <v>42</v>
      </c>
      <c r="L2" s="128">
        <f>IF(K2="oui",(G2+I2/2-300)/800,(G2+I2-300)/800+2)</f>
        <v>4.0012500000000006</v>
      </c>
      <c r="M2" s="128">
        <f>(H2-500)/800+2*2</f>
        <v>6.3875000000000002</v>
      </c>
      <c r="N2" s="128">
        <f t="shared" ref="N2:N34" si="0">L2+M2</f>
        <v>10.388750000000002</v>
      </c>
      <c r="O2" s="119"/>
      <c r="P2" s="131" t="str">
        <f t="shared" ref="P2:P34" si="1">IF(J2=0,"0",G2+I2)</f>
        <v>0</v>
      </c>
      <c r="Q2" s="112"/>
      <c r="R2" s="128">
        <f t="shared" ref="R2:R34" si="2">N2</f>
        <v>10.388750000000002</v>
      </c>
      <c r="S2" s="128" t="s">
        <v>93</v>
      </c>
      <c r="T2" s="128">
        <f>L2+M2</f>
        <v>10.388750000000002</v>
      </c>
      <c r="U2" s="128">
        <f>L2+M2</f>
        <v>10.388750000000002</v>
      </c>
      <c r="V2" s="112">
        <v>0</v>
      </c>
      <c r="W2" s="112">
        <v>0</v>
      </c>
      <c r="X2" s="128">
        <f>U2</f>
        <v>10.388750000000002</v>
      </c>
      <c r="Y2" s="112">
        <f>G2</f>
        <v>943</v>
      </c>
      <c r="Z2" s="112">
        <f>I2+50</f>
        <v>1008</v>
      </c>
      <c r="AA2" s="171" t="s">
        <v>101</v>
      </c>
      <c r="AB2" s="30">
        <f>IF(B2="Galandage",H2+125,"")</f>
        <v>2535</v>
      </c>
      <c r="AC2" s="176">
        <f>IF(B2="Galandage",AD2/1.96,"")</f>
        <v>1020.9183673469388</v>
      </c>
      <c r="AD2" s="204">
        <f>G2+I2-(2*RELEVER!T2)+100</f>
        <v>2001</v>
      </c>
      <c r="AE2" s="208">
        <f>CHOOSE(MATCH(B2,{"Galandage";"Oscilotbattant";"Fixe";"Coulissant"},0),115+RELEVER!L2,RELEVER!L2+112,RELEVER!L2+79,RELEVER!L2+115,"")</f>
        <v>2517</v>
      </c>
      <c r="AF2" s="208"/>
      <c r="AG2" s="208"/>
      <c r="AH2" s="208"/>
      <c r="AI2" s="208"/>
    </row>
    <row r="3" spans="1:35" s="35" customFormat="1" ht="15.75" thickBot="1" x14ac:dyDescent="0.3">
      <c r="A3" s="32" t="str">
        <f>RELEVER!A3</f>
        <v>ME02</v>
      </c>
      <c r="B3" s="32" t="str">
        <f>RELEVER!B3</f>
        <v>Oscilotbattant</v>
      </c>
      <c r="C3" s="46">
        <v>1</v>
      </c>
      <c r="D3" s="46">
        <v>0</v>
      </c>
      <c r="E3" s="56"/>
      <c r="F3" s="56">
        <v>70</v>
      </c>
      <c r="G3" s="116">
        <f>RELEVER!I3</f>
        <v>945</v>
      </c>
      <c r="H3" s="116">
        <f>RELEVER!J3</f>
        <v>1350</v>
      </c>
      <c r="I3" s="121">
        <v>0</v>
      </c>
      <c r="J3" s="118">
        <f>RELEVER!S3</f>
        <v>1000</v>
      </c>
      <c r="K3" s="123" t="s">
        <v>42</v>
      </c>
      <c r="L3" s="99">
        <f t="shared" ref="L3:L34" si="3">IF(K3="oui",(G3+I3/2-300)/800,(G3+I3-300)/800+2)</f>
        <v>2.8062499999999999</v>
      </c>
      <c r="M3" s="99">
        <f t="shared" ref="M3:M34" si="4">(H3-500)/800+2*2</f>
        <v>5.0625</v>
      </c>
      <c r="N3" s="129">
        <f t="shared" si="0"/>
        <v>7.8687500000000004</v>
      </c>
      <c r="O3" s="118"/>
      <c r="P3" s="132">
        <f t="shared" si="1"/>
        <v>945</v>
      </c>
      <c r="Q3" s="32"/>
      <c r="R3" s="99">
        <f t="shared" si="2"/>
        <v>7.8687500000000004</v>
      </c>
      <c r="S3" s="99" t="s">
        <v>93</v>
      </c>
      <c r="T3" s="99">
        <f t="shared" ref="T3:T32" si="5">L3+M3</f>
        <v>7.8687500000000004</v>
      </c>
      <c r="U3" s="81">
        <f t="shared" ref="U3:U34" si="6">L3+M3</f>
        <v>7.8687500000000004</v>
      </c>
      <c r="V3" s="32">
        <v>0</v>
      </c>
      <c r="W3" s="32">
        <v>0</v>
      </c>
      <c r="X3" s="81">
        <f t="shared" ref="X3:X34" si="7">U3</f>
        <v>7.8687500000000004</v>
      </c>
      <c r="Y3" s="138"/>
      <c r="Z3" s="138"/>
      <c r="AA3" s="43"/>
      <c r="AB3" s="157" t="str">
        <f t="shared" ref="AB3:AB34" si="8">IF(B3="Galandage",H3+125,"")</f>
        <v/>
      </c>
      <c r="AC3" s="175" t="str">
        <f t="shared" ref="AC3:AC34" si="9">IF(B3="Galandage",AD3/1.96,"")</f>
        <v/>
      </c>
      <c r="AD3" s="205">
        <f>G3+I3-(2*RELEVER!T3)+100</f>
        <v>995</v>
      </c>
      <c r="AE3" s="208">
        <f>CHOOSE(MATCH(B3,{"Galandage";"Oscilotbattant";"Fixe";"Coulissant"},0),115+RELEVER!L3,RELEVER!L3+112,RELEVER!L3+79,RELEVER!L3+115,"")</f>
        <v>1454</v>
      </c>
      <c r="AF3" s="56"/>
      <c r="AG3" s="56"/>
      <c r="AH3" s="56"/>
      <c r="AI3" s="56"/>
    </row>
    <row r="4" spans="1:35" ht="15.75" thickBot="1" x14ac:dyDescent="0.3">
      <c r="A4" s="18" t="str">
        <f>RELEVER!A4</f>
        <v>ME03</v>
      </c>
      <c r="B4" s="18" t="str">
        <f>RELEVER!B4</f>
        <v>fixe</v>
      </c>
      <c r="C4" s="19">
        <v>1</v>
      </c>
      <c r="D4" s="19">
        <v>0</v>
      </c>
      <c r="E4" s="21"/>
      <c r="F4" s="21">
        <v>70</v>
      </c>
      <c r="G4" s="117">
        <f>RELEVER!I4</f>
        <v>2710</v>
      </c>
      <c r="H4" s="117">
        <f>RELEVER!J4</f>
        <v>2625</v>
      </c>
      <c r="I4" s="117">
        <v>0</v>
      </c>
      <c r="J4" s="117">
        <v>0</v>
      </c>
      <c r="K4" s="124" t="s">
        <v>42</v>
      </c>
      <c r="L4" s="109">
        <f t="shared" si="3"/>
        <v>5.0125000000000002</v>
      </c>
      <c r="M4" s="109">
        <f t="shared" si="4"/>
        <v>6.65625</v>
      </c>
      <c r="N4" s="130">
        <f t="shared" si="0"/>
        <v>11.668749999999999</v>
      </c>
      <c r="O4" s="117"/>
      <c r="P4" s="133" t="str">
        <f t="shared" si="1"/>
        <v>0</v>
      </c>
      <c r="Q4" s="136"/>
      <c r="R4" s="137">
        <f t="shared" si="2"/>
        <v>11.668749999999999</v>
      </c>
      <c r="S4" s="109" t="s">
        <v>93</v>
      </c>
      <c r="T4" s="109">
        <f t="shared" si="5"/>
        <v>11.668749999999999</v>
      </c>
      <c r="U4" s="109">
        <f t="shared" si="6"/>
        <v>11.668749999999999</v>
      </c>
      <c r="V4" s="18">
        <v>0</v>
      </c>
      <c r="W4" s="18">
        <v>0</v>
      </c>
      <c r="X4" s="109">
        <f t="shared" si="7"/>
        <v>11.668749999999999</v>
      </c>
      <c r="Y4" s="18"/>
      <c r="Z4" s="18"/>
      <c r="AA4" s="172"/>
      <c r="AB4" s="24" t="str">
        <f t="shared" si="8"/>
        <v/>
      </c>
      <c r="AC4" s="177" t="str">
        <f t="shared" si="9"/>
        <v/>
      </c>
      <c r="AD4" s="206">
        <f>G4+I4-(2*RELEVER!T4)+100</f>
        <v>2760</v>
      </c>
      <c r="AE4" s="208">
        <f>CHOOSE(MATCH(B4,{"Galandage";"Oscilotbattant";"Fixe";"Coulissant"},0),115+RELEVER!L4,RELEVER!L4+112,RELEVER!L4+79,RELEVER!L4+115,"")</f>
        <v>2696</v>
      </c>
      <c r="AF4" s="21"/>
      <c r="AG4" s="21"/>
      <c r="AH4" s="21"/>
      <c r="AI4" s="21"/>
    </row>
    <row r="5" spans="1:35" s="35" customFormat="1" ht="15.75" thickBot="1" x14ac:dyDescent="0.3">
      <c r="A5" s="32" t="str">
        <f>RELEVER!A5</f>
        <v>ME04</v>
      </c>
      <c r="B5" s="32" t="str">
        <f>RELEVER!B5</f>
        <v>Galandage</v>
      </c>
      <c r="C5" s="46">
        <v>1</v>
      </c>
      <c r="D5" s="46">
        <v>0</v>
      </c>
      <c r="E5" s="56"/>
      <c r="F5" s="56">
        <v>54.4</v>
      </c>
      <c r="G5" s="118">
        <f>RELEVER!I5</f>
        <v>915</v>
      </c>
      <c r="H5" s="118">
        <f>RELEVER!J5</f>
        <v>1510</v>
      </c>
      <c r="I5" s="118">
        <f>G5+15</f>
        <v>930</v>
      </c>
      <c r="J5" s="118">
        <f>RELEVER!S5</f>
        <v>1000</v>
      </c>
      <c r="K5" s="125" t="s">
        <v>50</v>
      </c>
      <c r="L5" s="99">
        <f t="shared" si="3"/>
        <v>1.35</v>
      </c>
      <c r="M5" s="99">
        <f t="shared" si="4"/>
        <v>5.2625000000000002</v>
      </c>
      <c r="N5" s="99">
        <f t="shared" si="0"/>
        <v>6.6125000000000007</v>
      </c>
      <c r="O5" s="118" t="s">
        <v>97</v>
      </c>
      <c r="P5" s="132">
        <f t="shared" si="1"/>
        <v>1845</v>
      </c>
      <c r="Q5" s="32"/>
      <c r="R5" s="99">
        <f t="shared" si="2"/>
        <v>6.6125000000000007</v>
      </c>
      <c r="S5" s="99" t="s">
        <v>93</v>
      </c>
      <c r="T5" s="99">
        <f t="shared" si="5"/>
        <v>6.6125000000000007</v>
      </c>
      <c r="U5" s="81">
        <f t="shared" si="6"/>
        <v>6.6125000000000007</v>
      </c>
      <c r="V5" s="32">
        <v>0</v>
      </c>
      <c r="W5" s="32">
        <v>0</v>
      </c>
      <c r="X5" s="81">
        <f t="shared" si="7"/>
        <v>6.6125000000000007</v>
      </c>
      <c r="Y5" s="138">
        <f t="shared" ref="Y5:Y32" si="10">G5</f>
        <v>915</v>
      </c>
      <c r="Z5" s="138">
        <f t="shared" ref="Z5:Z22" si="11">I5+50</f>
        <v>980</v>
      </c>
      <c r="AA5" s="43" t="s">
        <v>101</v>
      </c>
      <c r="AB5" s="157">
        <f t="shared" si="8"/>
        <v>1635</v>
      </c>
      <c r="AC5" s="175">
        <f t="shared" si="9"/>
        <v>992.34693877551024</v>
      </c>
      <c r="AD5" s="205">
        <f>G5+I5-(2*RELEVER!T5)+100</f>
        <v>1945</v>
      </c>
      <c r="AE5" s="208">
        <f>CHOOSE(MATCH(B5,{"Galandage";"Oscilotbattant";"Fixe";"Coulissant"},0),115+RELEVER!L5,RELEVER!L5+112,RELEVER!L5+79,RELEVER!L5+115,"")</f>
        <v>1617</v>
      </c>
      <c r="AF5" s="56"/>
      <c r="AG5" s="56"/>
      <c r="AH5" s="56"/>
      <c r="AI5" s="56"/>
    </row>
    <row r="6" spans="1:35" ht="15.75" thickBot="1" x14ac:dyDescent="0.3">
      <c r="A6" s="18" t="str">
        <f>RELEVER!A6</f>
        <v>ME05</v>
      </c>
      <c r="B6" s="18" t="str">
        <f>RELEVER!B6</f>
        <v>Oscilotbattant</v>
      </c>
      <c r="C6" s="19">
        <v>1</v>
      </c>
      <c r="D6" s="19">
        <v>0</v>
      </c>
      <c r="E6" s="21"/>
      <c r="F6" s="21">
        <v>70</v>
      </c>
      <c r="G6" s="23">
        <f>RELEVER!I6</f>
        <v>620</v>
      </c>
      <c r="H6" s="23">
        <f>RELEVER!J6</f>
        <v>1510</v>
      </c>
      <c r="I6" s="23">
        <v>0</v>
      </c>
      <c r="J6" s="23">
        <f>RELEVER!S6</f>
        <v>1000</v>
      </c>
      <c r="K6" s="126" t="s">
        <v>42</v>
      </c>
      <c r="L6" s="109">
        <f t="shared" si="3"/>
        <v>2.4</v>
      </c>
      <c r="M6" s="109">
        <f t="shared" si="4"/>
        <v>5.2625000000000002</v>
      </c>
      <c r="N6" s="109">
        <f t="shared" si="0"/>
        <v>7.6624999999999996</v>
      </c>
      <c r="O6" s="23"/>
      <c r="P6" s="134">
        <f t="shared" si="1"/>
        <v>620</v>
      </c>
      <c r="Q6" s="18"/>
      <c r="R6" s="109">
        <f t="shared" si="2"/>
        <v>7.6624999999999996</v>
      </c>
      <c r="S6" s="109" t="s">
        <v>93</v>
      </c>
      <c r="T6" s="109">
        <f t="shared" si="5"/>
        <v>7.6624999999999996</v>
      </c>
      <c r="U6" s="109">
        <f t="shared" si="6"/>
        <v>7.6624999999999996</v>
      </c>
      <c r="V6" s="18">
        <v>0</v>
      </c>
      <c r="W6" s="18">
        <v>0</v>
      </c>
      <c r="X6" s="109">
        <f t="shared" si="7"/>
        <v>7.6624999999999996</v>
      </c>
      <c r="Y6" s="18"/>
      <c r="Z6" s="18"/>
      <c r="AA6" s="172"/>
      <c r="AB6" s="24" t="str">
        <f t="shared" si="8"/>
        <v/>
      </c>
      <c r="AC6" s="177" t="str">
        <f t="shared" si="9"/>
        <v/>
      </c>
      <c r="AD6" s="206">
        <f>G6+I6-(2*RELEVER!T6)+100</f>
        <v>670</v>
      </c>
      <c r="AE6" s="208">
        <f>CHOOSE(MATCH(B6,{"Galandage";"Oscilotbattant";"Fixe";"Coulissant"},0),115+RELEVER!L6,RELEVER!L6+112,RELEVER!L6+79,RELEVER!L6+115,"")</f>
        <v>1614</v>
      </c>
      <c r="AF6" s="21"/>
      <c r="AG6" s="21"/>
      <c r="AH6" s="21"/>
      <c r="AI6" s="21"/>
    </row>
    <row r="7" spans="1:35" s="35" customFormat="1" ht="15.75" thickBot="1" x14ac:dyDescent="0.3">
      <c r="A7" s="32" t="str">
        <f>RELEVER!A7</f>
        <v>ME06</v>
      </c>
      <c r="B7" s="32" t="str">
        <f>RELEVER!B7</f>
        <v>Oscilotbattant</v>
      </c>
      <c r="C7" s="46">
        <v>1</v>
      </c>
      <c r="D7" s="46">
        <v>1</v>
      </c>
      <c r="E7" s="56"/>
      <c r="F7" s="56">
        <v>70</v>
      </c>
      <c r="G7" s="118">
        <f>RELEVER!I7</f>
        <v>620</v>
      </c>
      <c r="H7" s="120">
        <f>RELEVER!J7</f>
        <v>1510</v>
      </c>
      <c r="I7" s="120">
        <v>0</v>
      </c>
      <c r="J7" s="118">
        <f>RELEVER!S7</f>
        <v>1000</v>
      </c>
      <c r="K7" s="125" t="s">
        <v>42</v>
      </c>
      <c r="L7" s="99">
        <f t="shared" si="3"/>
        <v>2.4</v>
      </c>
      <c r="M7" s="99">
        <f t="shared" si="4"/>
        <v>5.2625000000000002</v>
      </c>
      <c r="N7" s="99">
        <f t="shared" si="0"/>
        <v>7.6624999999999996</v>
      </c>
      <c r="O7" s="118"/>
      <c r="P7" s="132">
        <f t="shared" si="1"/>
        <v>620</v>
      </c>
      <c r="Q7" s="32"/>
      <c r="R7" s="99">
        <f t="shared" si="2"/>
        <v>7.6624999999999996</v>
      </c>
      <c r="S7" s="99" t="s">
        <v>93</v>
      </c>
      <c r="T7" s="99">
        <f t="shared" si="5"/>
        <v>7.6624999999999996</v>
      </c>
      <c r="U7" s="81">
        <f t="shared" si="6"/>
        <v>7.6624999999999996</v>
      </c>
      <c r="V7" s="32">
        <v>0</v>
      </c>
      <c r="W7" s="32">
        <v>0</v>
      </c>
      <c r="X7" s="81">
        <f t="shared" si="7"/>
        <v>7.6624999999999996</v>
      </c>
      <c r="Y7" s="138"/>
      <c r="Z7" s="138"/>
      <c r="AA7" s="43"/>
      <c r="AB7" s="157" t="str">
        <f t="shared" si="8"/>
        <v/>
      </c>
      <c r="AC7" s="175" t="str">
        <f t="shared" si="9"/>
        <v/>
      </c>
      <c r="AD7" s="205">
        <f>G7+I7-(2*RELEVER!T7)+100</f>
        <v>670</v>
      </c>
      <c r="AE7" s="208">
        <f>CHOOSE(MATCH(B7,{"Galandage";"Oscilotbattant";"Fixe";"Coulissant"},0),115+RELEVER!L7,RELEVER!L7+112,RELEVER!L7+79,RELEVER!L7+115,"")</f>
        <v>1614</v>
      </c>
      <c r="AF7" s="56"/>
      <c r="AG7" s="56"/>
      <c r="AH7" s="56"/>
      <c r="AI7" s="56"/>
    </row>
    <row r="8" spans="1:35" ht="15.75" thickBot="1" x14ac:dyDescent="0.3">
      <c r="A8" s="18" t="str">
        <f>RELEVER!A8</f>
        <v>ME07</v>
      </c>
      <c r="B8" s="18" t="str">
        <f>RELEVER!B8</f>
        <v>Galandage</v>
      </c>
      <c r="C8" s="19">
        <v>1</v>
      </c>
      <c r="D8" s="19">
        <v>1</v>
      </c>
      <c r="E8" s="21"/>
      <c r="F8" s="21">
        <v>54.4</v>
      </c>
      <c r="G8" s="23">
        <f>RELEVER!I8</f>
        <v>1520</v>
      </c>
      <c r="H8" s="23">
        <f>RELEVER!J8</f>
        <v>2400</v>
      </c>
      <c r="I8" s="23">
        <f>G8+15</f>
        <v>1535</v>
      </c>
      <c r="J8" s="23">
        <f>RELEVER!S8</f>
        <v>0</v>
      </c>
      <c r="K8" s="126" t="s">
        <v>50</v>
      </c>
      <c r="L8" s="109">
        <f t="shared" si="3"/>
        <v>2.484375</v>
      </c>
      <c r="M8" s="109">
        <f t="shared" si="4"/>
        <v>6.375</v>
      </c>
      <c r="N8" s="109">
        <f t="shared" si="0"/>
        <v>8.859375</v>
      </c>
      <c r="O8" s="23"/>
      <c r="P8" s="134" t="str">
        <f t="shared" si="1"/>
        <v>0</v>
      </c>
      <c r="Q8" s="18"/>
      <c r="R8" s="109">
        <f t="shared" si="2"/>
        <v>8.859375</v>
      </c>
      <c r="S8" s="109" t="s">
        <v>93</v>
      </c>
      <c r="T8" s="109">
        <f t="shared" si="5"/>
        <v>8.859375</v>
      </c>
      <c r="U8" s="109">
        <f t="shared" si="6"/>
        <v>8.859375</v>
      </c>
      <c r="V8" s="18">
        <v>0</v>
      </c>
      <c r="W8" s="18">
        <v>0</v>
      </c>
      <c r="X8" s="109">
        <f t="shared" si="7"/>
        <v>8.859375</v>
      </c>
      <c r="Y8" s="18">
        <f t="shared" si="10"/>
        <v>1520</v>
      </c>
      <c r="Z8" s="18">
        <f t="shared" si="11"/>
        <v>1585</v>
      </c>
      <c r="AA8" s="172" t="s">
        <v>102</v>
      </c>
      <c r="AB8" s="24">
        <f t="shared" si="8"/>
        <v>2525</v>
      </c>
      <c r="AC8" s="177">
        <f t="shared" si="9"/>
        <v>1609.6938775510205</v>
      </c>
      <c r="AD8" s="206">
        <f>G8+I8-(2*RELEVER!T8)+100</f>
        <v>3155</v>
      </c>
      <c r="AE8" s="208">
        <f>CHOOSE(MATCH(B8,{"Galandage";"Oscilotbattant";"Fixe";"Coulissant"},0),115+RELEVER!L8,RELEVER!L8+112,RELEVER!L8+79,RELEVER!L8+115,"")</f>
        <v>2507</v>
      </c>
      <c r="AF8" s="21"/>
      <c r="AG8" s="21"/>
      <c r="AH8" s="21"/>
      <c r="AI8" s="21"/>
    </row>
    <row r="9" spans="1:35" s="35" customFormat="1" ht="15.75" thickBot="1" x14ac:dyDescent="0.3">
      <c r="A9" s="32" t="str">
        <f>RELEVER!A9</f>
        <v>ME08</v>
      </c>
      <c r="B9" s="32" t="str">
        <f>RELEVER!B9</f>
        <v>Oscilotbattant</v>
      </c>
      <c r="C9" s="46">
        <v>1</v>
      </c>
      <c r="D9" s="46">
        <v>0</v>
      </c>
      <c r="E9" s="56"/>
      <c r="F9" s="56">
        <v>70</v>
      </c>
      <c r="G9" s="118">
        <f>RELEVER!I9</f>
        <v>620</v>
      </c>
      <c r="H9" s="118">
        <f>RELEVER!J9</f>
        <v>1510</v>
      </c>
      <c r="I9" s="118">
        <v>0</v>
      </c>
      <c r="J9" s="118">
        <f>RELEVER!S9</f>
        <v>1000</v>
      </c>
      <c r="K9" s="125" t="s">
        <v>50</v>
      </c>
      <c r="L9" s="99">
        <f t="shared" si="3"/>
        <v>0.4</v>
      </c>
      <c r="M9" s="99">
        <f t="shared" si="4"/>
        <v>5.2625000000000002</v>
      </c>
      <c r="N9" s="99">
        <f t="shared" si="0"/>
        <v>5.6625000000000005</v>
      </c>
      <c r="O9" s="118"/>
      <c r="P9" s="132">
        <f t="shared" si="1"/>
        <v>620</v>
      </c>
      <c r="Q9" s="32"/>
      <c r="R9" s="99">
        <f t="shared" si="2"/>
        <v>5.6625000000000005</v>
      </c>
      <c r="S9" s="99" t="s">
        <v>93</v>
      </c>
      <c r="T9" s="99">
        <f t="shared" si="5"/>
        <v>5.6625000000000005</v>
      </c>
      <c r="U9" s="81">
        <f t="shared" si="6"/>
        <v>5.6625000000000005</v>
      </c>
      <c r="V9" s="32">
        <v>0</v>
      </c>
      <c r="W9" s="32">
        <v>0</v>
      </c>
      <c r="X9" s="81">
        <f t="shared" si="7"/>
        <v>5.6625000000000005</v>
      </c>
      <c r="Y9" s="138"/>
      <c r="Z9" s="138"/>
      <c r="AA9" s="43"/>
      <c r="AB9" s="157" t="str">
        <f t="shared" si="8"/>
        <v/>
      </c>
      <c r="AC9" s="175" t="str">
        <f t="shared" si="9"/>
        <v/>
      </c>
      <c r="AD9" s="205">
        <f>G9+I9-(2*RELEVER!T9)+100</f>
        <v>670</v>
      </c>
      <c r="AE9" s="208">
        <f>CHOOSE(MATCH(B9,{"Galandage";"Oscilotbattant";"Fixe";"Coulissant"},0),115+RELEVER!L9,RELEVER!L9+112,RELEVER!L9+79,RELEVER!L9+115,"")</f>
        <v>1614</v>
      </c>
      <c r="AF9" s="56"/>
      <c r="AG9" s="56"/>
      <c r="AH9" s="56"/>
      <c r="AI9" s="56"/>
    </row>
    <row r="10" spans="1:35" ht="15.75" thickBot="1" x14ac:dyDescent="0.3">
      <c r="A10" s="18" t="str">
        <f>RELEVER!A10</f>
        <v>ME09</v>
      </c>
      <c r="B10" s="18" t="str">
        <f>RELEVER!B10</f>
        <v>Oscilotbattant</v>
      </c>
      <c r="C10" s="19">
        <v>1</v>
      </c>
      <c r="D10" s="19">
        <v>0</v>
      </c>
      <c r="E10" s="21"/>
      <c r="F10" s="21">
        <v>70</v>
      </c>
      <c r="G10" s="23">
        <f>RELEVER!I10</f>
        <v>620</v>
      </c>
      <c r="H10" s="23">
        <f>RELEVER!J10</f>
        <v>1510</v>
      </c>
      <c r="I10" s="23">
        <v>0</v>
      </c>
      <c r="J10" s="23">
        <f>RELEVER!S10</f>
        <v>1000</v>
      </c>
      <c r="K10" s="126" t="s">
        <v>42</v>
      </c>
      <c r="L10" s="109">
        <f t="shared" si="3"/>
        <v>2.4</v>
      </c>
      <c r="M10" s="109">
        <f t="shared" si="4"/>
        <v>5.2625000000000002</v>
      </c>
      <c r="N10" s="109">
        <f t="shared" si="0"/>
        <v>7.6624999999999996</v>
      </c>
      <c r="O10" s="23"/>
      <c r="P10" s="134">
        <f t="shared" si="1"/>
        <v>620</v>
      </c>
      <c r="Q10" s="18"/>
      <c r="R10" s="109">
        <f t="shared" si="2"/>
        <v>7.6624999999999996</v>
      </c>
      <c r="S10" s="109" t="s">
        <v>93</v>
      </c>
      <c r="T10" s="109">
        <f t="shared" si="5"/>
        <v>7.6624999999999996</v>
      </c>
      <c r="U10" s="109">
        <f t="shared" si="6"/>
        <v>7.6624999999999996</v>
      </c>
      <c r="V10" s="18">
        <v>0</v>
      </c>
      <c r="W10" s="18">
        <v>0</v>
      </c>
      <c r="X10" s="109">
        <f t="shared" si="7"/>
        <v>7.6624999999999996</v>
      </c>
      <c r="Y10" s="18"/>
      <c r="Z10" s="18"/>
      <c r="AA10" s="172"/>
      <c r="AB10" s="24" t="str">
        <f t="shared" si="8"/>
        <v/>
      </c>
      <c r="AC10" s="177" t="str">
        <f t="shared" si="9"/>
        <v/>
      </c>
      <c r="AD10" s="206">
        <f>G10+I10-(2*RELEVER!T10)+100</f>
        <v>670</v>
      </c>
      <c r="AE10" s="208">
        <f>CHOOSE(MATCH(B10,{"Galandage";"Oscilotbattant";"Fixe";"Coulissant"},0),115+RELEVER!L10,RELEVER!L10+112,RELEVER!L10+79,RELEVER!L10+115,"")</f>
        <v>1614</v>
      </c>
      <c r="AF10" s="21"/>
      <c r="AG10" s="21"/>
      <c r="AH10" s="21"/>
      <c r="AI10" s="21"/>
    </row>
    <row r="11" spans="1:35" s="35" customFormat="1" ht="15.75" thickBot="1" x14ac:dyDescent="0.3">
      <c r="A11" s="32" t="str">
        <f>RELEVER!A11</f>
        <v>ME10</v>
      </c>
      <c r="B11" s="32" t="str">
        <f>RELEVER!B11</f>
        <v>Galandage</v>
      </c>
      <c r="C11" s="46">
        <v>1</v>
      </c>
      <c r="D11" s="46">
        <v>1</v>
      </c>
      <c r="E11" s="56"/>
      <c r="F11" s="56">
        <v>54.4</v>
      </c>
      <c r="G11" s="118">
        <f>RELEVER!I11</f>
        <v>1620</v>
      </c>
      <c r="H11" s="118">
        <f>RELEVER!J11</f>
        <v>2490</v>
      </c>
      <c r="I11" s="118">
        <f>G11+15</f>
        <v>1635</v>
      </c>
      <c r="J11" s="118">
        <f>RELEVER!S11</f>
        <v>0</v>
      </c>
      <c r="K11" s="125" t="s">
        <v>50</v>
      </c>
      <c r="L11" s="99">
        <f t="shared" si="3"/>
        <v>2.671875</v>
      </c>
      <c r="M11" s="99">
        <f t="shared" si="4"/>
        <v>6.4874999999999998</v>
      </c>
      <c r="N11" s="99">
        <f t="shared" si="0"/>
        <v>9.1593750000000007</v>
      </c>
      <c r="O11" s="118"/>
      <c r="P11" s="132" t="str">
        <f t="shared" si="1"/>
        <v>0</v>
      </c>
      <c r="Q11" s="32"/>
      <c r="R11" s="99">
        <f t="shared" si="2"/>
        <v>9.1593750000000007</v>
      </c>
      <c r="S11" s="99" t="s">
        <v>93</v>
      </c>
      <c r="T11" s="99">
        <f t="shared" si="5"/>
        <v>9.1593750000000007</v>
      </c>
      <c r="U11" s="81">
        <f t="shared" si="6"/>
        <v>9.1593750000000007</v>
      </c>
      <c r="V11" s="32">
        <v>0</v>
      </c>
      <c r="W11" s="32">
        <v>0</v>
      </c>
      <c r="X11" s="81">
        <f t="shared" si="7"/>
        <v>9.1593750000000007</v>
      </c>
      <c r="Y11" s="138">
        <f t="shared" si="10"/>
        <v>1620</v>
      </c>
      <c r="Z11" s="138">
        <f t="shared" si="11"/>
        <v>1685</v>
      </c>
      <c r="AA11" s="43" t="s">
        <v>102</v>
      </c>
      <c r="AB11" s="157">
        <f t="shared" si="8"/>
        <v>2615</v>
      </c>
      <c r="AC11" s="175">
        <f t="shared" si="9"/>
        <v>1711.7346938775511</v>
      </c>
      <c r="AD11" s="205">
        <f>G11+I11-(2*RELEVER!T11)+100</f>
        <v>3355</v>
      </c>
      <c r="AE11" s="208">
        <f>CHOOSE(MATCH(B11,{"Galandage";"Oscilotbattant";"Fixe";"Coulissant"},0),115+RELEVER!L11,RELEVER!L11+112,RELEVER!L11+79,RELEVER!L11+115,"")</f>
        <v>2555</v>
      </c>
      <c r="AF11" s="56"/>
      <c r="AG11" s="56"/>
      <c r="AH11" s="56"/>
      <c r="AI11" s="56"/>
    </row>
    <row r="12" spans="1:35" ht="15.75" thickBot="1" x14ac:dyDescent="0.3">
      <c r="A12" s="18" t="str">
        <f>RELEVER!A12</f>
        <v>ME11</v>
      </c>
      <c r="B12" s="18" t="str">
        <f>RELEVER!B12</f>
        <v>Galandage</v>
      </c>
      <c r="C12" s="19">
        <v>1</v>
      </c>
      <c r="D12" s="19">
        <v>1</v>
      </c>
      <c r="E12" s="21"/>
      <c r="F12" s="21">
        <v>54.4</v>
      </c>
      <c r="G12" s="23">
        <f>RELEVER!I12</f>
        <v>1520</v>
      </c>
      <c r="H12" s="23">
        <f>RELEVER!J12</f>
        <v>2410</v>
      </c>
      <c r="I12" s="23">
        <f>G12+15</f>
        <v>1535</v>
      </c>
      <c r="J12" s="23">
        <f>RELEVER!S12</f>
        <v>0</v>
      </c>
      <c r="K12" s="126" t="s">
        <v>50</v>
      </c>
      <c r="L12" s="109">
        <f t="shared" si="3"/>
        <v>2.484375</v>
      </c>
      <c r="M12" s="109">
        <f t="shared" si="4"/>
        <v>6.3875000000000002</v>
      </c>
      <c r="N12" s="109">
        <f t="shared" si="0"/>
        <v>8.8718749999999993</v>
      </c>
      <c r="O12" s="23"/>
      <c r="P12" s="134" t="str">
        <f t="shared" si="1"/>
        <v>0</v>
      </c>
      <c r="Q12" s="18"/>
      <c r="R12" s="109">
        <f t="shared" si="2"/>
        <v>8.8718749999999993</v>
      </c>
      <c r="S12" s="109" t="s">
        <v>93</v>
      </c>
      <c r="T12" s="109">
        <f t="shared" si="5"/>
        <v>8.8718749999999993</v>
      </c>
      <c r="U12" s="109">
        <f t="shared" si="6"/>
        <v>8.8718749999999993</v>
      </c>
      <c r="V12" s="18">
        <v>0</v>
      </c>
      <c r="W12" s="18">
        <v>0</v>
      </c>
      <c r="X12" s="109">
        <f t="shared" si="7"/>
        <v>8.8718749999999993</v>
      </c>
      <c r="Y12" s="18">
        <f t="shared" si="10"/>
        <v>1520</v>
      </c>
      <c r="Z12" s="18">
        <f t="shared" si="11"/>
        <v>1585</v>
      </c>
      <c r="AA12" s="172" t="s">
        <v>102</v>
      </c>
      <c r="AB12" s="24">
        <f t="shared" si="8"/>
        <v>2535</v>
      </c>
      <c r="AC12" s="177">
        <f t="shared" si="9"/>
        <v>1609.6938775510205</v>
      </c>
      <c r="AD12" s="206">
        <f>G12+I12-(2*RELEVER!T12)+100</f>
        <v>3155</v>
      </c>
      <c r="AE12" s="208">
        <f>CHOOSE(MATCH(B12,{"Galandage";"Oscilotbattant";"Fixe";"Coulissant"},0),115+RELEVER!L12,RELEVER!L12+112,RELEVER!L12+79,RELEVER!L12+115,"")</f>
        <v>2517</v>
      </c>
      <c r="AF12" s="21"/>
      <c r="AG12" s="21"/>
      <c r="AH12" s="21"/>
      <c r="AI12" s="21"/>
    </row>
    <row r="13" spans="1:35" s="35" customFormat="1" ht="15.75" thickBot="1" x14ac:dyDescent="0.3">
      <c r="A13" s="32" t="str">
        <f>RELEVER!A13</f>
        <v>ME12</v>
      </c>
      <c r="B13" s="32" t="str">
        <f>RELEVER!B13</f>
        <v>Galandage</v>
      </c>
      <c r="C13" s="46">
        <v>1</v>
      </c>
      <c r="D13" s="46">
        <v>1</v>
      </c>
      <c r="E13" s="56"/>
      <c r="F13" s="56">
        <v>54.4</v>
      </c>
      <c r="G13" s="118">
        <f>RELEVER!I13</f>
        <v>1520</v>
      </c>
      <c r="H13" s="118">
        <f>RELEVER!J13</f>
        <v>2415</v>
      </c>
      <c r="I13" s="118">
        <f>G13+15</f>
        <v>1535</v>
      </c>
      <c r="J13" s="118">
        <f>RELEVER!S13</f>
        <v>0</v>
      </c>
      <c r="K13" s="125" t="s">
        <v>50</v>
      </c>
      <c r="L13" s="99">
        <f t="shared" si="3"/>
        <v>2.484375</v>
      </c>
      <c r="M13" s="99">
        <f t="shared" si="4"/>
        <v>6.3937499999999998</v>
      </c>
      <c r="N13" s="99">
        <f t="shared" si="0"/>
        <v>8.8781250000000007</v>
      </c>
      <c r="O13" s="118"/>
      <c r="P13" s="132" t="str">
        <f t="shared" si="1"/>
        <v>0</v>
      </c>
      <c r="Q13" s="32"/>
      <c r="R13" s="99">
        <f t="shared" si="2"/>
        <v>8.8781250000000007</v>
      </c>
      <c r="S13" s="99" t="s">
        <v>93</v>
      </c>
      <c r="T13" s="99">
        <f t="shared" si="5"/>
        <v>8.8781250000000007</v>
      </c>
      <c r="U13" s="81">
        <f t="shared" si="6"/>
        <v>8.8781250000000007</v>
      </c>
      <c r="V13" s="32">
        <v>0</v>
      </c>
      <c r="W13" s="32">
        <v>0</v>
      </c>
      <c r="X13" s="81">
        <f t="shared" si="7"/>
        <v>8.8781250000000007</v>
      </c>
      <c r="Y13" s="138">
        <f t="shared" si="10"/>
        <v>1520</v>
      </c>
      <c r="Z13" s="138">
        <f t="shared" si="11"/>
        <v>1585</v>
      </c>
      <c r="AA13" s="43" t="s">
        <v>102</v>
      </c>
      <c r="AB13" s="157">
        <f t="shared" si="8"/>
        <v>2540</v>
      </c>
      <c r="AC13" s="175">
        <f t="shared" si="9"/>
        <v>1609.6938775510205</v>
      </c>
      <c r="AD13" s="205">
        <f>G13+I13-(2*RELEVER!T13)+100</f>
        <v>3155</v>
      </c>
      <c r="AE13" s="208">
        <f>CHOOSE(MATCH(B13,{"Galandage";"Oscilotbattant";"Fixe";"Coulissant"},0),115+RELEVER!L13,RELEVER!L13+112,RELEVER!L13+79,RELEVER!L13+115,"")</f>
        <v>2522</v>
      </c>
      <c r="AF13" s="56"/>
      <c r="AG13" s="56"/>
      <c r="AH13" s="56"/>
      <c r="AI13" s="56"/>
    </row>
    <row r="14" spans="1:35" ht="15.75" thickBot="1" x14ac:dyDescent="0.3">
      <c r="A14" s="18" t="str">
        <f>RELEVER!A14</f>
        <v>ME13</v>
      </c>
      <c r="B14" s="18" t="str">
        <f>RELEVER!B14</f>
        <v>Galandage</v>
      </c>
      <c r="C14" s="19">
        <v>1</v>
      </c>
      <c r="D14" s="19">
        <v>1</v>
      </c>
      <c r="E14" s="21"/>
      <c r="F14" s="21">
        <v>54.4</v>
      </c>
      <c r="G14" s="23">
        <f>RELEVER!I14</f>
        <v>1270</v>
      </c>
      <c r="H14" s="23">
        <f>RELEVER!J14</f>
        <v>2415</v>
      </c>
      <c r="I14" s="23">
        <f>G14+15</f>
        <v>1285</v>
      </c>
      <c r="J14" s="23">
        <f>RELEVER!S14</f>
        <v>0</v>
      </c>
      <c r="K14" s="126" t="s">
        <v>50</v>
      </c>
      <c r="L14" s="109">
        <f t="shared" si="3"/>
        <v>2.015625</v>
      </c>
      <c r="M14" s="109">
        <f t="shared" si="4"/>
        <v>6.3937499999999998</v>
      </c>
      <c r="N14" s="109">
        <f t="shared" si="0"/>
        <v>8.4093750000000007</v>
      </c>
      <c r="O14" s="23"/>
      <c r="P14" s="134" t="str">
        <f t="shared" si="1"/>
        <v>0</v>
      </c>
      <c r="Q14" s="18"/>
      <c r="R14" s="109">
        <f t="shared" si="2"/>
        <v>8.4093750000000007</v>
      </c>
      <c r="S14" s="109" t="s">
        <v>93</v>
      </c>
      <c r="T14" s="109">
        <f t="shared" si="5"/>
        <v>8.4093750000000007</v>
      </c>
      <c r="U14" s="109">
        <f t="shared" si="6"/>
        <v>8.4093750000000007</v>
      </c>
      <c r="V14" s="18">
        <v>0</v>
      </c>
      <c r="W14" s="18">
        <v>0</v>
      </c>
      <c r="X14" s="109">
        <f t="shared" si="7"/>
        <v>8.4093750000000007</v>
      </c>
      <c r="Y14" s="18">
        <f t="shared" si="10"/>
        <v>1270</v>
      </c>
      <c r="Z14" s="18">
        <f t="shared" si="11"/>
        <v>1335</v>
      </c>
      <c r="AA14" s="172" t="s">
        <v>102</v>
      </c>
      <c r="AB14" s="24">
        <f t="shared" si="8"/>
        <v>2540</v>
      </c>
      <c r="AC14" s="177">
        <f t="shared" si="9"/>
        <v>1354.591836734694</v>
      </c>
      <c r="AD14" s="206">
        <f>G14+I14-(2*RELEVER!T14)+100</f>
        <v>2655</v>
      </c>
      <c r="AE14" s="208">
        <f>CHOOSE(MATCH(B14,{"Galandage";"Oscilotbattant";"Fixe";"Coulissant"},0),115+RELEVER!L14,RELEVER!L14+112,RELEVER!L14+79,RELEVER!L14+115,"")</f>
        <v>2522</v>
      </c>
      <c r="AF14" s="21"/>
      <c r="AG14" s="21"/>
      <c r="AH14" s="21"/>
      <c r="AI14" s="21"/>
    </row>
    <row r="15" spans="1:35" s="35" customFormat="1" ht="15.75" thickBot="1" x14ac:dyDescent="0.3">
      <c r="A15" s="32" t="str">
        <f>RELEVER!A15</f>
        <v>ME14</v>
      </c>
      <c r="B15" s="32" t="str">
        <f>RELEVER!B15</f>
        <v>Galandage</v>
      </c>
      <c r="C15" s="46">
        <v>1</v>
      </c>
      <c r="D15" s="46">
        <v>1</v>
      </c>
      <c r="E15" s="56"/>
      <c r="F15" s="56">
        <v>54.4</v>
      </c>
      <c r="G15" s="118">
        <f>RELEVER!I15</f>
        <v>1270</v>
      </c>
      <c r="H15" s="118">
        <f>RELEVER!J15</f>
        <v>2410</v>
      </c>
      <c r="I15" s="118">
        <f>G15+15</f>
        <v>1285</v>
      </c>
      <c r="J15" s="118">
        <f>RELEVER!S15</f>
        <v>0</v>
      </c>
      <c r="K15" s="125" t="s">
        <v>50</v>
      </c>
      <c r="L15" s="99">
        <f t="shared" si="3"/>
        <v>2.015625</v>
      </c>
      <c r="M15" s="99">
        <f t="shared" si="4"/>
        <v>6.3875000000000002</v>
      </c>
      <c r="N15" s="99">
        <f t="shared" si="0"/>
        <v>8.4031249999999993</v>
      </c>
      <c r="O15" s="118"/>
      <c r="P15" s="132" t="str">
        <f t="shared" si="1"/>
        <v>0</v>
      </c>
      <c r="Q15" s="32"/>
      <c r="R15" s="99">
        <f t="shared" si="2"/>
        <v>8.4031249999999993</v>
      </c>
      <c r="S15" s="99" t="s">
        <v>93</v>
      </c>
      <c r="T15" s="99">
        <f t="shared" si="5"/>
        <v>8.4031249999999993</v>
      </c>
      <c r="U15" s="81">
        <f t="shared" si="6"/>
        <v>8.4031249999999993</v>
      </c>
      <c r="V15" s="32">
        <v>0</v>
      </c>
      <c r="W15" s="32">
        <v>0</v>
      </c>
      <c r="X15" s="81">
        <f t="shared" si="7"/>
        <v>8.4031249999999993</v>
      </c>
      <c r="Y15" s="138">
        <f t="shared" si="10"/>
        <v>1270</v>
      </c>
      <c r="Z15" s="138">
        <f t="shared" si="11"/>
        <v>1335</v>
      </c>
      <c r="AA15" s="43" t="s">
        <v>102</v>
      </c>
      <c r="AB15" s="157">
        <f t="shared" si="8"/>
        <v>2535</v>
      </c>
      <c r="AC15" s="175">
        <f t="shared" si="9"/>
        <v>1354.591836734694</v>
      </c>
      <c r="AD15" s="205">
        <f>G15+I15-(2*RELEVER!T15)+100</f>
        <v>2655</v>
      </c>
      <c r="AE15" s="208">
        <f>CHOOSE(MATCH(B15,{"Galandage";"Oscilotbattant";"Fixe";"Coulissant"},0),115+RELEVER!L15,RELEVER!L15+112,RELEVER!L15+79,RELEVER!L15+115,"")</f>
        <v>2517</v>
      </c>
      <c r="AF15" s="56"/>
      <c r="AG15" s="56"/>
      <c r="AH15" s="56"/>
      <c r="AI15" s="56"/>
    </row>
    <row r="16" spans="1:35" ht="15.75" thickBot="1" x14ac:dyDescent="0.3">
      <c r="A16" s="18" t="str">
        <f>RELEVER!A16</f>
        <v>ME15</v>
      </c>
      <c r="B16" s="18" t="str">
        <f>RELEVER!B16</f>
        <v>Fixe</v>
      </c>
      <c r="C16" s="19">
        <v>1</v>
      </c>
      <c r="D16" s="19">
        <v>1</v>
      </c>
      <c r="E16" s="21"/>
      <c r="F16" s="21">
        <v>70</v>
      </c>
      <c r="G16" s="23">
        <f>RELEVER!I16</f>
        <v>1020</v>
      </c>
      <c r="H16" s="23">
        <f>RELEVER!J16</f>
        <v>2110</v>
      </c>
      <c r="I16" s="23">
        <v>0</v>
      </c>
      <c r="J16" s="23">
        <f>RELEVER!S16</f>
        <v>1000</v>
      </c>
      <c r="K16" s="126" t="s">
        <v>50</v>
      </c>
      <c r="L16" s="109">
        <f t="shared" si="3"/>
        <v>0.9</v>
      </c>
      <c r="M16" s="109">
        <f t="shared" si="4"/>
        <v>6.0125000000000002</v>
      </c>
      <c r="N16" s="109">
        <f t="shared" si="0"/>
        <v>6.9125000000000005</v>
      </c>
      <c r="O16" s="23"/>
      <c r="P16" s="134">
        <f t="shared" si="1"/>
        <v>1020</v>
      </c>
      <c r="Q16" s="18"/>
      <c r="R16" s="109">
        <f t="shared" si="2"/>
        <v>6.9125000000000005</v>
      </c>
      <c r="S16" s="109" t="s">
        <v>93</v>
      </c>
      <c r="T16" s="109">
        <f t="shared" si="5"/>
        <v>6.9125000000000005</v>
      </c>
      <c r="U16" s="109">
        <f t="shared" si="6"/>
        <v>6.9125000000000005</v>
      </c>
      <c r="V16" s="18">
        <v>0</v>
      </c>
      <c r="W16" s="18">
        <v>0</v>
      </c>
      <c r="X16" s="109">
        <f t="shared" si="7"/>
        <v>6.9125000000000005</v>
      </c>
      <c r="Y16" s="18"/>
      <c r="Z16" s="18"/>
      <c r="AA16" s="172"/>
      <c r="AB16" s="24" t="str">
        <f t="shared" si="8"/>
        <v/>
      </c>
      <c r="AC16" s="177" t="str">
        <f t="shared" si="9"/>
        <v/>
      </c>
      <c r="AD16" s="206">
        <f>G16+I16-(2*RELEVER!T16)+100</f>
        <v>1070</v>
      </c>
      <c r="AE16" s="208">
        <f>CHOOSE(MATCH(B16,{"Galandage";"Oscilotbattant";"Fixe";"Coulissant"},0),115+RELEVER!L16,RELEVER!L16+112,RELEVER!L16+79,RELEVER!L16+115,"")</f>
        <v>2161</v>
      </c>
      <c r="AF16" s="21"/>
      <c r="AG16" s="21"/>
      <c r="AH16" s="21"/>
      <c r="AI16" s="21"/>
    </row>
    <row r="17" spans="1:35" s="35" customFormat="1" ht="15.75" thickBot="1" x14ac:dyDescent="0.3">
      <c r="A17" s="32" t="str">
        <f>RELEVER!A17</f>
        <v>ME16</v>
      </c>
      <c r="B17" s="32" t="str">
        <f>RELEVER!B17</f>
        <v>Fixe</v>
      </c>
      <c r="C17" s="46">
        <v>1</v>
      </c>
      <c r="D17" s="46">
        <v>1</v>
      </c>
      <c r="E17" s="56"/>
      <c r="F17" s="56">
        <v>70</v>
      </c>
      <c r="G17" s="118">
        <f>RELEVER!I17</f>
        <v>1020</v>
      </c>
      <c r="H17" s="118">
        <f>RELEVER!J17</f>
        <v>2165</v>
      </c>
      <c r="I17" s="118">
        <v>0</v>
      </c>
      <c r="J17" s="118">
        <f>RELEVER!S17</f>
        <v>1000</v>
      </c>
      <c r="K17" s="125" t="s">
        <v>50</v>
      </c>
      <c r="L17" s="99">
        <f t="shared" si="3"/>
        <v>0.9</v>
      </c>
      <c r="M17" s="99">
        <f t="shared" si="4"/>
        <v>6.0812499999999998</v>
      </c>
      <c r="N17" s="99">
        <f t="shared" si="0"/>
        <v>6.9812500000000002</v>
      </c>
      <c r="O17" s="118"/>
      <c r="P17" s="132">
        <f t="shared" si="1"/>
        <v>1020</v>
      </c>
      <c r="Q17" s="32"/>
      <c r="R17" s="99">
        <f t="shared" si="2"/>
        <v>6.9812500000000002</v>
      </c>
      <c r="S17" s="99" t="s">
        <v>93</v>
      </c>
      <c r="T17" s="99">
        <f t="shared" si="5"/>
        <v>6.9812500000000002</v>
      </c>
      <c r="U17" s="81">
        <f t="shared" si="6"/>
        <v>6.9812500000000002</v>
      </c>
      <c r="V17" s="32">
        <v>0</v>
      </c>
      <c r="W17" s="32">
        <v>0</v>
      </c>
      <c r="X17" s="81">
        <f t="shared" si="7"/>
        <v>6.9812500000000002</v>
      </c>
      <c r="Y17" s="138"/>
      <c r="Z17" s="138"/>
      <c r="AA17" s="43"/>
      <c r="AB17" s="157" t="str">
        <f t="shared" si="8"/>
        <v/>
      </c>
      <c r="AC17" s="175" t="str">
        <f t="shared" si="9"/>
        <v/>
      </c>
      <c r="AD17" s="205">
        <f>G17+I17-(2*RELEVER!T17)+100</f>
        <v>1070</v>
      </c>
      <c r="AE17" s="208">
        <f>CHOOSE(MATCH(B17,{"Galandage";"Oscilotbattant";"Fixe";"Coulissant"},0),115+RELEVER!L17,RELEVER!L17+112,RELEVER!L17+79,RELEVER!L17+115,"")</f>
        <v>2236</v>
      </c>
      <c r="AF17" s="56"/>
      <c r="AG17" s="56"/>
      <c r="AH17" s="56"/>
      <c r="AI17" s="56"/>
    </row>
    <row r="18" spans="1:35" ht="15.75" thickBot="1" x14ac:dyDescent="0.3">
      <c r="A18" s="18" t="str">
        <f>RELEVER!A18</f>
        <v>ME17</v>
      </c>
      <c r="B18" s="18" t="str">
        <f>RELEVER!B18</f>
        <v>Coulissant</v>
      </c>
      <c r="C18" s="19">
        <v>4</v>
      </c>
      <c r="D18" s="19">
        <v>2</v>
      </c>
      <c r="E18" s="21"/>
      <c r="F18" s="21">
        <v>125.4</v>
      </c>
      <c r="G18" s="22">
        <f>RELEVER!I18</f>
        <v>8435</v>
      </c>
      <c r="H18" s="22">
        <f>RELEVER!J18</f>
        <v>2985</v>
      </c>
      <c r="I18" s="23">
        <v>0</v>
      </c>
      <c r="J18" s="23">
        <f>RELEVER!S18</f>
        <v>0</v>
      </c>
      <c r="K18" s="126" t="s">
        <v>42</v>
      </c>
      <c r="L18" s="109">
        <f t="shared" si="3"/>
        <v>12.168749999999999</v>
      </c>
      <c r="M18" s="109">
        <f t="shared" si="4"/>
        <v>7.1062500000000002</v>
      </c>
      <c r="N18" s="109">
        <f t="shared" si="0"/>
        <v>19.274999999999999</v>
      </c>
      <c r="O18" s="23" t="s">
        <v>98</v>
      </c>
      <c r="P18" s="134" t="str">
        <f t="shared" si="1"/>
        <v>0</v>
      </c>
      <c r="Q18" s="18"/>
      <c r="R18" s="109">
        <f t="shared" si="2"/>
        <v>19.274999999999999</v>
      </c>
      <c r="S18" s="109" t="s">
        <v>93</v>
      </c>
      <c r="T18" s="109">
        <f t="shared" si="5"/>
        <v>19.274999999999999</v>
      </c>
      <c r="U18" s="109">
        <f t="shared" si="6"/>
        <v>19.274999999999999</v>
      </c>
      <c r="V18" s="18">
        <v>0</v>
      </c>
      <c r="W18" s="18">
        <v>0</v>
      </c>
      <c r="X18" s="109">
        <f t="shared" si="7"/>
        <v>19.274999999999999</v>
      </c>
      <c r="Y18" s="18">
        <f t="shared" si="10"/>
        <v>8435</v>
      </c>
      <c r="Z18" s="18"/>
      <c r="AA18" s="172" t="s">
        <v>105</v>
      </c>
      <c r="AB18" s="24" t="str">
        <f t="shared" si="8"/>
        <v/>
      </c>
      <c r="AC18" s="177" t="str">
        <f t="shared" si="9"/>
        <v/>
      </c>
      <c r="AD18" s="206">
        <f>G18+I18-(2*RELEVER!T18)+100</f>
        <v>8535</v>
      </c>
      <c r="AE18" s="208">
        <f>CHOOSE(MATCH(B18,{"Galandage";"Oscilotbattant";"Fixe";"Coulissant"},0),115+RELEVER!L18,RELEVER!L18+112,RELEVER!L18+79,RELEVER!L18+115,"")</f>
        <v>3092</v>
      </c>
      <c r="AF18" s="21"/>
      <c r="AG18" s="21"/>
      <c r="AH18" s="21"/>
      <c r="AI18" s="21"/>
    </row>
    <row r="19" spans="1:35" s="35" customFormat="1" ht="15.75" thickBot="1" x14ac:dyDescent="0.3">
      <c r="A19" s="32" t="str">
        <f>RELEVER!A19</f>
        <v>ME18</v>
      </c>
      <c r="B19" s="32" t="str">
        <f>RELEVER!B19</f>
        <v>Galandage</v>
      </c>
      <c r="C19" s="46">
        <v>1</v>
      </c>
      <c r="D19" s="46">
        <v>1</v>
      </c>
      <c r="E19" s="56"/>
      <c r="F19" s="56">
        <v>54.4</v>
      </c>
      <c r="G19" s="118">
        <f>RELEVER!I19</f>
        <v>1820</v>
      </c>
      <c r="H19" s="120">
        <f>RELEVER!J19</f>
        <v>2410</v>
      </c>
      <c r="I19" s="120">
        <f>G19+15</f>
        <v>1835</v>
      </c>
      <c r="J19" s="118">
        <f>RELEVER!S19</f>
        <v>0</v>
      </c>
      <c r="K19" s="125" t="s">
        <v>50</v>
      </c>
      <c r="L19" s="99">
        <f t="shared" si="3"/>
        <v>3.046875</v>
      </c>
      <c r="M19" s="99">
        <f t="shared" si="4"/>
        <v>6.3875000000000002</v>
      </c>
      <c r="N19" s="99">
        <f t="shared" si="0"/>
        <v>9.4343749999999993</v>
      </c>
      <c r="O19" s="118"/>
      <c r="P19" s="132" t="str">
        <f t="shared" si="1"/>
        <v>0</v>
      </c>
      <c r="Q19" s="32"/>
      <c r="R19" s="99">
        <f t="shared" si="2"/>
        <v>9.4343749999999993</v>
      </c>
      <c r="S19" s="99" t="s">
        <v>93</v>
      </c>
      <c r="T19" s="99">
        <f t="shared" si="5"/>
        <v>9.4343749999999993</v>
      </c>
      <c r="U19" s="81">
        <f t="shared" si="6"/>
        <v>9.4343749999999993</v>
      </c>
      <c r="V19" s="32">
        <v>0</v>
      </c>
      <c r="W19" s="32">
        <v>0</v>
      </c>
      <c r="X19" s="81">
        <f t="shared" si="7"/>
        <v>9.4343749999999993</v>
      </c>
      <c r="Y19" s="138">
        <f t="shared" si="10"/>
        <v>1820</v>
      </c>
      <c r="Z19" s="138">
        <f t="shared" si="11"/>
        <v>1885</v>
      </c>
      <c r="AA19" s="43" t="s">
        <v>102</v>
      </c>
      <c r="AB19" s="157">
        <f t="shared" si="8"/>
        <v>2535</v>
      </c>
      <c r="AC19" s="175">
        <f t="shared" si="9"/>
        <v>1915.8163265306123</v>
      </c>
      <c r="AD19" s="205">
        <f>G19+I19-(2*RELEVER!T19)+100</f>
        <v>3755</v>
      </c>
      <c r="AE19" s="208">
        <f>CHOOSE(MATCH(B19,{"Galandage";"Oscilotbattant";"Fixe";"Coulissant"},0),115+RELEVER!L19,RELEVER!L19+112,RELEVER!L19+79,RELEVER!L19+115,"")</f>
        <v>2517</v>
      </c>
      <c r="AF19" s="56"/>
      <c r="AG19" s="56"/>
      <c r="AH19" s="56"/>
      <c r="AI19" s="56"/>
    </row>
    <row r="20" spans="1:35" ht="15.75" thickBot="1" x14ac:dyDescent="0.3">
      <c r="A20" s="18" t="str">
        <f>RELEVER!A20</f>
        <v>ME19</v>
      </c>
      <c r="B20" s="18" t="str">
        <f>RELEVER!B20</f>
        <v>Galandage</v>
      </c>
      <c r="C20" s="19">
        <v>1</v>
      </c>
      <c r="D20" s="19">
        <v>1</v>
      </c>
      <c r="E20" s="21"/>
      <c r="F20" s="21">
        <v>54.4</v>
      </c>
      <c r="G20" s="23">
        <f>RELEVER!I20</f>
        <v>915</v>
      </c>
      <c r="H20" s="23">
        <f>RELEVER!J20</f>
        <v>1510</v>
      </c>
      <c r="I20" s="23">
        <f>G20+15</f>
        <v>930</v>
      </c>
      <c r="J20" s="23">
        <f>RELEVER!S20</f>
        <v>1000</v>
      </c>
      <c r="K20" s="126" t="s">
        <v>50</v>
      </c>
      <c r="L20" s="109">
        <f t="shared" si="3"/>
        <v>1.35</v>
      </c>
      <c r="M20" s="109">
        <f t="shared" si="4"/>
        <v>5.2625000000000002</v>
      </c>
      <c r="N20" s="109">
        <f t="shared" si="0"/>
        <v>6.6125000000000007</v>
      </c>
      <c r="O20" s="23"/>
      <c r="P20" s="134">
        <f t="shared" si="1"/>
        <v>1845</v>
      </c>
      <c r="Q20" s="18"/>
      <c r="R20" s="109">
        <f t="shared" si="2"/>
        <v>6.6125000000000007</v>
      </c>
      <c r="S20" s="109" t="s">
        <v>93</v>
      </c>
      <c r="T20" s="109">
        <f t="shared" si="5"/>
        <v>6.6125000000000007</v>
      </c>
      <c r="U20" s="109">
        <f t="shared" si="6"/>
        <v>6.6125000000000007</v>
      </c>
      <c r="V20" s="18">
        <v>0</v>
      </c>
      <c r="W20" s="18">
        <v>0</v>
      </c>
      <c r="X20" s="109">
        <f t="shared" si="7"/>
        <v>6.6125000000000007</v>
      </c>
      <c r="Y20" s="18">
        <f t="shared" si="10"/>
        <v>915</v>
      </c>
      <c r="Z20" s="18">
        <f t="shared" si="11"/>
        <v>980</v>
      </c>
      <c r="AA20" s="172" t="s">
        <v>102</v>
      </c>
      <c r="AB20" s="24">
        <f t="shared" si="8"/>
        <v>1635</v>
      </c>
      <c r="AC20" s="177">
        <f t="shared" si="9"/>
        <v>992.34693877551024</v>
      </c>
      <c r="AD20" s="206">
        <f>G20+I20-(2*RELEVER!T20)+100</f>
        <v>1945</v>
      </c>
      <c r="AE20" s="208">
        <f>CHOOSE(MATCH(B20,{"Galandage";"Oscilotbattant";"Fixe";"Coulissant"},0),115+RELEVER!L20,RELEVER!L20+112,RELEVER!L20+79,RELEVER!L20+115,"")</f>
        <v>1617</v>
      </c>
      <c r="AF20" s="21"/>
      <c r="AG20" s="21"/>
      <c r="AH20" s="21"/>
      <c r="AI20" s="21"/>
    </row>
    <row r="21" spans="1:35" s="35" customFormat="1" ht="15.75" thickBot="1" x14ac:dyDescent="0.3">
      <c r="A21" s="32" t="str">
        <f>RELEVER!A21</f>
        <v>ME20</v>
      </c>
      <c r="B21" s="32" t="str">
        <f>RELEVER!B21</f>
        <v>Galandage</v>
      </c>
      <c r="C21" s="46">
        <v>1</v>
      </c>
      <c r="D21" s="46">
        <v>1</v>
      </c>
      <c r="E21" s="56"/>
      <c r="F21" s="56">
        <v>54.4</v>
      </c>
      <c r="G21" s="118">
        <f>RELEVER!I21</f>
        <v>1520</v>
      </c>
      <c r="H21" s="118">
        <f>RELEVER!J21</f>
        <v>2415</v>
      </c>
      <c r="I21" s="118">
        <f>G21+15</f>
        <v>1535</v>
      </c>
      <c r="J21" s="118">
        <f>RELEVER!S21</f>
        <v>0</v>
      </c>
      <c r="K21" s="125" t="s">
        <v>50</v>
      </c>
      <c r="L21" s="99">
        <f t="shared" si="3"/>
        <v>2.484375</v>
      </c>
      <c r="M21" s="99">
        <f t="shared" si="4"/>
        <v>6.3937499999999998</v>
      </c>
      <c r="N21" s="99">
        <f t="shared" si="0"/>
        <v>8.8781250000000007</v>
      </c>
      <c r="O21" s="118"/>
      <c r="P21" s="132" t="str">
        <f t="shared" si="1"/>
        <v>0</v>
      </c>
      <c r="Q21" s="32"/>
      <c r="R21" s="99">
        <f t="shared" si="2"/>
        <v>8.8781250000000007</v>
      </c>
      <c r="S21" s="99" t="s">
        <v>93</v>
      </c>
      <c r="T21" s="99">
        <f t="shared" si="5"/>
        <v>8.8781250000000007</v>
      </c>
      <c r="U21" s="81">
        <f t="shared" si="6"/>
        <v>8.8781250000000007</v>
      </c>
      <c r="V21" s="32">
        <v>0</v>
      </c>
      <c r="W21" s="32">
        <v>0</v>
      </c>
      <c r="X21" s="81">
        <f t="shared" si="7"/>
        <v>8.8781250000000007</v>
      </c>
      <c r="Y21" s="138">
        <f t="shared" si="10"/>
        <v>1520</v>
      </c>
      <c r="Z21" s="138">
        <f t="shared" si="11"/>
        <v>1585</v>
      </c>
      <c r="AA21" s="43" t="s">
        <v>102</v>
      </c>
      <c r="AB21" s="157">
        <f t="shared" si="8"/>
        <v>2540</v>
      </c>
      <c r="AC21" s="175">
        <f t="shared" si="9"/>
        <v>1609.6938775510205</v>
      </c>
      <c r="AD21" s="205">
        <f>G21+I21-(2*RELEVER!T21)+100</f>
        <v>3155</v>
      </c>
      <c r="AE21" s="208">
        <f>CHOOSE(MATCH(B21,{"Galandage";"Oscilotbattant";"Fixe";"Coulissant"},0),115+RELEVER!L21,RELEVER!L21+112,RELEVER!L21+79,RELEVER!L21+115,"")</f>
        <v>2522</v>
      </c>
      <c r="AF21" s="56"/>
      <c r="AG21" s="56"/>
      <c r="AH21" s="56"/>
      <c r="AI21" s="56"/>
    </row>
    <row r="22" spans="1:35" ht="15.75" thickBot="1" x14ac:dyDescent="0.3">
      <c r="A22" s="18" t="str">
        <f>RELEVER!A22</f>
        <v>ME21</v>
      </c>
      <c r="B22" s="18" t="str">
        <f>RELEVER!B22</f>
        <v>Galandage</v>
      </c>
      <c r="C22" s="19">
        <v>1</v>
      </c>
      <c r="D22" s="19">
        <v>1</v>
      </c>
      <c r="E22" s="21"/>
      <c r="F22" s="21">
        <v>54.4</v>
      </c>
      <c r="G22" s="23">
        <f>RELEVER!I22</f>
        <v>1620</v>
      </c>
      <c r="H22" s="23">
        <f>RELEVER!J22</f>
        <v>2530</v>
      </c>
      <c r="I22" s="23">
        <f>G22+15</f>
        <v>1635</v>
      </c>
      <c r="J22" s="23">
        <f>RELEVER!S22</f>
        <v>0</v>
      </c>
      <c r="K22" s="126" t="s">
        <v>50</v>
      </c>
      <c r="L22" s="109">
        <f t="shared" si="3"/>
        <v>2.671875</v>
      </c>
      <c r="M22" s="109">
        <f t="shared" si="4"/>
        <v>6.5374999999999996</v>
      </c>
      <c r="N22" s="109">
        <f t="shared" si="0"/>
        <v>9.2093749999999996</v>
      </c>
      <c r="O22" s="23"/>
      <c r="P22" s="134" t="str">
        <f t="shared" si="1"/>
        <v>0</v>
      </c>
      <c r="Q22" s="18"/>
      <c r="R22" s="109">
        <f t="shared" si="2"/>
        <v>9.2093749999999996</v>
      </c>
      <c r="S22" s="109" t="s">
        <v>93</v>
      </c>
      <c r="T22" s="109">
        <f t="shared" si="5"/>
        <v>9.2093749999999996</v>
      </c>
      <c r="U22" s="109">
        <f t="shared" si="6"/>
        <v>9.2093749999999996</v>
      </c>
      <c r="V22" s="18">
        <v>0</v>
      </c>
      <c r="W22" s="18">
        <v>0</v>
      </c>
      <c r="X22" s="109">
        <f t="shared" si="7"/>
        <v>9.2093749999999996</v>
      </c>
      <c r="Y22" s="18">
        <f t="shared" si="10"/>
        <v>1620</v>
      </c>
      <c r="Z22" s="18">
        <f t="shared" si="11"/>
        <v>1685</v>
      </c>
      <c r="AA22" s="172" t="s">
        <v>102</v>
      </c>
      <c r="AB22" s="24">
        <f t="shared" si="8"/>
        <v>2655</v>
      </c>
      <c r="AC22" s="177">
        <f t="shared" si="9"/>
        <v>1711.7346938775511</v>
      </c>
      <c r="AD22" s="206">
        <f>G22+I22-(2*RELEVER!T22)+100</f>
        <v>3355</v>
      </c>
      <c r="AE22" s="208">
        <f>CHOOSE(MATCH(B22,{"Galandage";"Oscilotbattant";"Fixe";"Coulissant"},0),115+RELEVER!L22,RELEVER!L22+112,RELEVER!L22+79,RELEVER!L22+115,"")</f>
        <v>2595</v>
      </c>
      <c r="AF22" s="21"/>
      <c r="AG22" s="21"/>
      <c r="AH22" s="21"/>
      <c r="AI22" s="21"/>
    </row>
    <row r="23" spans="1:35" s="35" customFormat="1" ht="15.75" thickBot="1" x14ac:dyDescent="0.3">
      <c r="A23" s="32" t="str">
        <f>RELEVER!A23</f>
        <v>ME22</v>
      </c>
      <c r="B23" s="32" t="str">
        <f>RELEVER!B23</f>
        <v>Oscilotbattant</v>
      </c>
      <c r="C23" s="46">
        <v>1</v>
      </c>
      <c r="D23" s="46">
        <v>0</v>
      </c>
      <c r="E23" s="56"/>
      <c r="F23" s="56">
        <v>70</v>
      </c>
      <c r="G23" s="118">
        <f>RELEVER!I23</f>
        <v>820</v>
      </c>
      <c r="H23" s="118">
        <f>RELEVER!J23</f>
        <v>1510</v>
      </c>
      <c r="I23" s="118">
        <v>0</v>
      </c>
      <c r="J23" s="118">
        <f>RELEVER!S23</f>
        <v>1000</v>
      </c>
      <c r="K23" s="125" t="s">
        <v>42</v>
      </c>
      <c r="L23" s="99">
        <f t="shared" si="3"/>
        <v>2.65</v>
      </c>
      <c r="M23" s="99">
        <f t="shared" si="4"/>
        <v>5.2625000000000002</v>
      </c>
      <c r="N23" s="99">
        <f t="shared" si="0"/>
        <v>7.9124999999999996</v>
      </c>
      <c r="O23" s="118"/>
      <c r="P23" s="132">
        <f t="shared" si="1"/>
        <v>820</v>
      </c>
      <c r="Q23" s="32"/>
      <c r="R23" s="99">
        <f t="shared" si="2"/>
        <v>7.9124999999999996</v>
      </c>
      <c r="S23" s="99" t="s">
        <v>93</v>
      </c>
      <c r="T23" s="99">
        <f t="shared" si="5"/>
        <v>7.9124999999999996</v>
      </c>
      <c r="U23" s="81">
        <f t="shared" si="6"/>
        <v>7.9124999999999996</v>
      </c>
      <c r="V23" s="32">
        <v>0</v>
      </c>
      <c r="W23" s="32">
        <v>0</v>
      </c>
      <c r="X23" s="81">
        <f t="shared" si="7"/>
        <v>7.9124999999999996</v>
      </c>
      <c r="Y23" s="138"/>
      <c r="Z23" s="138"/>
      <c r="AA23" s="43"/>
      <c r="AB23" s="157" t="str">
        <f t="shared" si="8"/>
        <v/>
      </c>
      <c r="AC23" s="175" t="str">
        <f t="shared" si="9"/>
        <v/>
      </c>
      <c r="AD23" s="205">
        <f>G23+I23-(2*RELEVER!T23)+100</f>
        <v>870</v>
      </c>
      <c r="AE23" s="208">
        <f>CHOOSE(MATCH(B23,{"Galandage";"Oscilotbattant";"Fixe";"Coulissant"},0),115+RELEVER!L23,RELEVER!L23+112,RELEVER!L23+79,RELEVER!L23+115,"")</f>
        <v>1614</v>
      </c>
      <c r="AF23" s="56"/>
      <c r="AG23" s="56"/>
      <c r="AH23" s="56"/>
      <c r="AI23" s="56"/>
    </row>
    <row r="24" spans="1:35" ht="15.75" thickBot="1" x14ac:dyDescent="0.3">
      <c r="A24" s="18" t="str">
        <f>RELEVER!A24</f>
        <v>ME23</v>
      </c>
      <c r="B24" s="18" t="str">
        <f>RELEVER!B24</f>
        <v>Fixe</v>
      </c>
      <c r="C24" s="19">
        <v>1</v>
      </c>
      <c r="D24" s="19">
        <v>0</v>
      </c>
      <c r="E24" s="21"/>
      <c r="F24" s="21">
        <v>70</v>
      </c>
      <c r="G24" s="23">
        <f>RELEVER!I24</f>
        <v>920</v>
      </c>
      <c r="H24" s="23">
        <f>RELEVER!J24</f>
        <v>1510</v>
      </c>
      <c r="I24" s="23">
        <v>0</v>
      </c>
      <c r="J24" s="23">
        <f>RELEVER!S24</f>
        <v>0</v>
      </c>
      <c r="K24" s="126" t="s">
        <v>42</v>
      </c>
      <c r="L24" s="109">
        <f t="shared" si="3"/>
        <v>2.7749999999999999</v>
      </c>
      <c r="M24" s="109">
        <f t="shared" si="4"/>
        <v>5.2625000000000002</v>
      </c>
      <c r="N24" s="109">
        <f t="shared" si="0"/>
        <v>8.0374999999999996</v>
      </c>
      <c r="O24" s="23"/>
      <c r="P24" s="134" t="str">
        <f t="shared" si="1"/>
        <v>0</v>
      </c>
      <c r="Q24" s="18"/>
      <c r="R24" s="109">
        <f t="shared" si="2"/>
        <v>8.0374999999999996</v>
      </c>
      <c r="S24" s="109" t="s">
        <v>93</v>
      </c>
      <c r="T24" s="109">
        <f t="shared" si="5"/>
        <v>8.0374999999999996</v>
      </c>
      <c r="U24" s="109">
        <f t="shared" si="6"/>
        <v>8.0374999999999996</v>
      </c>
      <c r="V24" s="18">
        <v>0</v>
      </c>
      <c r="W24" s="18">
        <v>0</v>
      </c>
      <c r="X24" s="109">
        <f t="shared" si="7"/>
        <v>8.0374999999999996</v>
      </c>
      <c r="Y24" s="18"/>
      <c r="Z24" s="18"/>
      <c r="AA24" s="172"/>
      <c r="AB24" s="24" t="str">
        <f t="shared" si="8"/>
        <v/>
      </c>
      <c r="AC24" s="177" t="str">
        <f t="shared" si="9"/>
        <v/>
      </c>
      <c r="AD24" s="206">
        <f>G24+I24-(2*RELEVER!T24)+100</f>
        <v>970</v>
      </c>
      <c r="AE24" s="208">
        <f>CHOOSE(MATCH(B24,{"Galandage";"Oscilotbattant";"Fixe";"Coulissant"},0),115+RELEVER!L24,RELEVER!L24+112,RELEVER!L24+79,RELEVER!L24+115,"")</f>
        <v>1581</v>
      </c>
      <c r="AF24" s="21"/>
      <c r="AG24" s="21"/>
      <c r="AH24" s="21"/>
      <c r="AI24" s="21"/>
    </row>
    <row r="25" spans="1:35" s="35" customFormat="1" ht="15.75" thickBot="1" x14ac:dyDescent="0.3">
      <c r="A25" s="32" t="str">
        <f>RELEVER!A25</f>
        <v>ME24</v>
      </c>
      <c r="B25" s="32" t="str">
        <f>RELEVER!B25</f>
        <v>Fixe</v>
      </c>
      <c r="C25" s="46">
        <v>1</v>
      </c>
      <c r="D25" s="46">
        <v>0</v>
      </c>
      <c r="E25" s="56"/>
      <c r="F25" s="56">
        <v>70</v>
      </c>
      <c r="G25" s="118">
        <f>RELEVER!I25</f>
        <v>2460</v>
      </c>
      <c r="H25" s="118">
        <f>RELEVER!J25</f>
        <v>2590</v>
      </c>
      <c r="I25" s="118">
        <v>0</v>
      </c>
      <c r="J25" s="118">
        <f>RELEVER!S25</f>
        <v>0</v>
      </c>
      <c r="K25" s="125" t="s">
        <v>42</v>
      </c>
      <c r="L25" s="99">
        <f t="shared" si="3"/>
        <v>4.7</v>
      </c>
      <c r="M25" s="99">
        <f t="shared" si="4"/>
        <v>6.6124999999999998</v>
      </c>
      <c r="N25" s="99">
        <f t="shared" si="0"/>
        <v>11.3125</v>
      </c>
      <c r="O25" s="118"/>
      <c r="P25" s="132" t="str">
        <f t="shared" si="1"/>
        <v>0</v>
      </c>
      <c r="Q25" s="32"/>
      <c r="R25" s="99">
        <f t="shared" si="2"/>
        <v>11.3125</v>
      </c>
      <c r="S25" s="99" t="s">
        <v>93</v>
      </c>
      <c r="T25" s="99">
        <f t="shared" si="5"/>
        <v>11.3125</v>
      </c>
      <c r="U25" s="81">
        <f t="shared" si="6"/>
        <v>11.3125</v>
      </c>
      <c r="V25" s="32">
        <v>0</v>
      </c>
      <c r="W25" s="32">
        <v>0</v>
      </c>
      <c r="X25" s="81">
        <f t="shared" si="7"/>
        <v>11.3125</v>
      </c>
      <c r="Y25" s="138"/>
      <c r="Z25" s="138"/>
      <c r="AA25" s="43"/>
      <c r="AB25" s="157" t="str">
        <f t="shared" si="8"/>
        <v/>
      </c>
      <c r="AC25" s="175" t="str">
        <f t="shared" si="9"/>
        <v/>
      </c>
      <c r="AD25" s="205">
        <f>G25+I25-(2*RELEVER!T25)+100</f>
        <v>2510</v>
      </c>
      <c r="AE25" s="208">
        <f>CHOOSE(MATCH(B25,{"Galandage";"Oscilotbattant";"Fixe";"Coulissant"},0),115+RELEVER!L25,RELEVER!L25+112,RELEVER!L25+79,RELEVER!L25+115,"")</f>
        <v>2661</v>
      </c>
      <c r="AF25" s="56"/>
      <c r="AG25" s="56"/>
      <c r="AH25" s="56"/>
      <c r="AI25" s="56"/>
    </row>
    <row r="26" spans="1:35" ht="15.75" thickBot="1" x14ac:dyDescent="0.3">
      <c r="A26" s="18" t="str">
        <f>RELEVER!A26</f>
        <v>ME25</v>
      </c>
      <c r="B26" s="18" t="str">
        <f>RELEVER!B26</f>
        <v>Fixe</v>
      </c>
      <c r="C26" s="19">
        <v>1</v>
      </c>
      <c r="D26" s="19">
        <v>0</v>
      </c>
      <c r="E26" s="21"/>
      <c r="F26" s="21">
        <v>70</v>
      </c>
      <c r="G26" s="23">
        <f>RELEVER!I26</f>
        <v>2420</v>
      </c>
      <c r="H26" s="23">
        <f>RELEVER!J26</f>
        <v>2590</v>
      </c>
      <c r="I26" s="23">
        <v>0</v>
      </c>
      <c r="J26" s="23">
        <f>RELEVER!S26</f>
        <v>0</v>
      </c>
      <c r="K26" s="126" t="s">
        <v>42</v>
      </c>
      <c r="L26" s="109">
        <f t="shared" si="3"/>
        <v>4.6500000000000004</v>
      </c>
      <c r="M26" s="109">
        <f t="shared" si="4"/>
        <v>6.6124999999999998</v>
      </c>
      <c r="N26" s="109">
        <f t="shared" si="0"/>
        <v>11.262499999999999</v>
      </c>
      <c r="O26" s="23"/>
      <c r="P26" s="134" t="str">
        <f t="shared" si="1"/>
        <v>0</v>
      </c>
      <c r="Q26" s="18"/>
      <c r="R26" s="109">
        <f t="shared" si="2"/>
        <v>11.262499999999999</v>
      </c>
      <c r="S26" s="109" t="s">
        <v>93</v>
      </c>
      <c r="T26" s="109">
        <f t="shared" si="5"/>
        <v>11.262499999999999</v>
      </c>
      <c r="U26" s="109">
        <f t="shared" si="6"/>
        <v>11.262499999999999</v>
      </c>
      <c r="V26" s="18">
        <v>0</v>
      </c>
      <c r="W26" s="18">
        <v>0</v>
      </c>
      <c r="X26" s="109">
        <f t="shared" si="7"/>
        <v>11.262499999999999</v>
      </c>
      <c r="Y26" s="18"/>
      <c r="Z26" s="18"/>
      <c r="AA26" s="172"/>
      <c r="AB26" s="24" t="str">
        <f t="shared" si="8"/>
        <v/>
      </c>
      <c r="AC26" s="177" t="str">
        <f t="shared" si="9"/>
        <v/>
      </c>
      <c r="AD26" s="206">
        <f>G26+I26-(2*RELEVER!T26)+100</f>
        <v>2470</v>
      </c>
      <c r="AE26" s="208">
        <f>CHOOSE(MATCH(B26,{"Galandage";"Oscilotbattant";"Fixe";"Coulissant"},0),115+RELEVER!L26,RELEVER!L26+112,RELEVER!L26+79,RELEVER!L26+115,"")</f>
        <v>2661</v>
      </c>
      <c r="AF26" s="21"/>
      <c r="AG26" s="21"/>
      <c r="AH26" s="21"/>
      <c r="AI26" s="21"/>
    </row>
    <row r="27" spans="1:35" s="35" customFormat="1" ht="15.75" thickBot="1" x14ac:dyDescent="0.3">
      <c r="A27" s="32" t="str">
        <f>RELEVER!A27</f>
        <v>ME26</v>
      </c>
      <c r="B27" s="32" t="str">
        <f>RELEVER!B27</f>
        <v>Fixe</v>
      </c>
      <c r="C27" s="46">
        <v>1</v>
      </c>
      <c r="D27" s="46">
        <v>0</v>
      </c>
      <c r="E27" s="56"/>
      <c r="F27" s="56">
        <v>70</v>
      </c>
      <c r="G27" s="118">
        <f>RELEVER!I27</f>
        <v>2420</v>
      </c>
      <c r="H27" s="118">
        <f>RELEVER!J27</f>
        <v>2590</v>
      </c>
      <c r="I27" s="118">
        <v>0</v>
      </c>
      <c r="J27" s="118">
        <f>RELEVER!S27</f>
        <v>0</v>
      </c>
      <c r="K27" s="125" t="s">
        <v>42</v>
      </c>
      <c r="L27" s="99">
        <f t="shared" si="3"/>
        <v>4.6500000000000004</v>
      </c>
      <c r="M27" s="99">
        <f t="shared" si="4"/>
        <v>6.6124999999999998</v>
      </c>
      <c r="N27" s="99">
        <f t="shared" si="0"/>
        <v>11.262499999999999</v>
      </c>
      <c r="O27" s="118"/>
      <c r="P27" s="132" t="str">
        <f t="shared" si="1"/>
        <v>0</v>
      </c>
      <c r="Q27" s="32"/>
      <c r="R27" s="99">
        <f t="shared" si="2"/>
        <v>11.262499999999999</v>
      </c>
      <c r="S27" s="99" t="s">
        <v>93</v>
      </c>
      <c r="T27" s="99">
        <f t="shared" si="5"/>
        <v>11.262499999999999</v>
      </c>
      <c r="U27" s="81">
        <f t="shared" si="6"/>
        <v>11.262499999999999</v>
      </c>
      <c r="V27" s="32">
        <v>0</v>
      </c>
      <c r="W27" s="32">
        <v>0</v>
      </c>
      <c r="X27" s="81">
        <f t="shared" si="7"/>
        <v>11.262499999999999</v>
      </c>
      <c r="Y27" s="138"/>
      <c r="Z27" s="138"/>
      <c r="AA27" s="43"/>
      <c r="AB27" s="157" t="str">
        <f t="shared" si="8"/>
        <v/>
      </c>
      <c r="AC27" s="175" t="str">
        <f t="shared" si="9"/>
        <v/>
      </c>
      <c r="AD27" s="205">
        <f>G27+I27-(2*RELEVER!T27)+100</f>
        <v>2470</v>
      </c>
      <c r="AE27" s="208">
        <f>CHOOSE(MATCH(B27,{"Galandage";"Oscilotbattant";"Fixe";"Coulissant"},0),115+RELEVER!L27,RELEVER!L27+112,RELEVER!L27+79,RELEVER!L27+115,"")</f>
        <v>2661</v>
      </c>
      <c r="AF27" s="56"/>
      <c r="AG27" s="56"/>
      <c r="AH27" s="56"/>
      <c r="AI27" s="56"/>
    </row>
    <row r="28" spans="1:35" ht="15.75" thickBot="1" x14ac:dyDescent="0.3">
      <c r="A28" s="18" t="str">
        <f>RELEVER!A28</f>
        <v>ME27</v>
      </c>
      <c r="B28" s="18" t="str">
        <f>RELEVER!B28</f>
        <v>Coulissant</v>
      </c>
      <c r="C28" s="19">
        <v>4</v>
      </c>
      <c r="D28" s="19">
        <v>2</v>
      </c>
      <c r="E28" s="21"/>
      <c r="F28" s="21">
        <v>125.4</v>
      </c>
      <c r="G28" s="23">
        <f>RELEVER!I28</f>
        <v>8895</v>
      </c>
      <c r="H28" s="23">
        <f>RELEVER!J28</f>
        <v>2595</v>
      </c>
      <c r="I28" s="23">
        <v>0</v>
      </c>
      <c r="J28" s="23">
        <f>RELEVER!S28</f>
        <v>0</v>
      </c>
      <c r="K28" s="126" t="s">
        <v>42</v>
      </c>
      <c r="L28" s="109">
        <f t="shared" si="3"/>
        <v>12.74375</v>
      </c>
      <c r="M28" s="109">
        <f t="shared" si="4"/>
        <v>6.6187500000000004</v>
      </c>
      <c r="N28" s="109">
        <f t="shared" si="0"/>
        <v>19.362500000000001</v>
      </c>
      <c r="O28" s="23" t="s">
        <v>98</v>
      </c>
      <c r="P28" s="134" t="str">
        <f t="shared" si="1"/>
        <v>0</v>
      </c>
      <c r="Q28" s="18"/>
      <c r="R28" s="109">
        <f t="shared" si="2"/>
        <v>19.362500000000001</v>
      </c>
      <c r="S28" s="109" t="s">
        <v>93</v>
      </c>
      <c r="T28" s="109">
        <f t="shared" si="5"/>
        <v>19.362500000000001</v>
      </c>
      <c r="U28" s="109">
        <f t="shared" si="6"/>
        <v>19.362500000000001</v>
      </c>
      <c r="V28" s="18">
        <v>0</v>
      </c>
      <c r="W28" s="18">
        <v>0</v>
      </c>
      <c r="X28" s="109">
        <f t="shared" si="7"/>
        <v>19.362500000000001</v>
      </c>
      <c r="Y28" s="18">
        <f t="shared" si="10"/>
        <v>8895</v>
      </c>
      <c r="Z28" s="18"/>
      <c r="AA28" s="172" t="s">
        <v>103</v>
      </c>
      <c r="AB28" s="24" t="str">
        <f t="shared" si="8"/>
        <v/>
      </c>
      <c r="AC28" s="177" t="str">
        <f t="shared" si="9"/>
        <v/>
      </c>
      <c r="AD28" s="206">
        <f>G28+I28-(2*RELEVER!T28)+100</f>
        <v>8995</v>
      </c>
      <c r="AE28" s="208">
        <f>CHOOSE(MATCH(B28,{"Galandage";"Oscilotbattant";"Fixe";"Coulissant"},0),115+RELEVER!L28,RELEVER!L28+112,RELEVER!L28+79,RELEVER!L28+115,"")</f>
        <v>2702</v>
      </c>
      <c r="AF28" s="21"/>
      <c r="AG28" s="21"/>
      <c r="AH28" s="21"/>
      <c r="AI28" s="21"/>
    </row>
    <row r="29" spans="1:35" s="35" customFormat="1" ht="15.75" thickBot="1" x14ac:dyDescent="0.3">
      <c r="A29" s="32" t="str">
        <f>RELEVER!A29</f>
        <v>ME28</v>
      </c>
      <c r="B29" s="32" t="str">
        <f>RELEVER!B29</f>
        <v>Fixe</v>
      </c>
      <c r="C29" s="46">
        <v>1</v>
      </c>
      <c r="D29" s="46">
        <v>1</v>
      </c>
      <c r="E29" s="56"/>
      <c r="F29" s="56">
        <v>70</v>
      </c>
      <c r="G29" s="118">
        <f>RELEVER!I29</f>
        <v>2445</v>
      </c>
      <c r="H29" s="118">
        <f>RELEVER!J29</f>
        <v>2595</v>
      </c>
      <c r="I29" s="118">
        <v>0</v>
      </c>
      <c r="J29" s="118">
        <f>RELEVER!S29</f>
        <v>0</v>
      </c>
      <c r="K29" s="125" t="s">
        <v>42</v>
      </c>
      <c r="L29" s="99">
        <f t="shared" si="3"/>
        <v>4.6812500000000004</v>
      </c>
      <c r="M29" s="99">
        <f t="shared" si="4"/>
        <v>6.6187500000000004</v>
      </c>
      <c r="N29" s="99">
        <f t="shared" si="0"/>
        <v>11.3</v>
      </c>
      <c r="O29" s="118"/>
      <c r="P29" s="132" t="str">
        <f t="shared" si="1"/>
        <v>0</v>
      </c>
      <c r="Q29" s="32"/>
      <c r="R29" s="99">
        <f t="shared" si="2"/>
        <v>11.3</v>
      </c>
      <c r="S29" s="99" t="s">
        <v>93</v>
      </c>
      <c r="T29" s="99">
        <f t="shared" si="5"/>
        <v>11.3</v>
      </c>
      <c r="U29" s="81">
        <f t="shared" si="6"/>
        <v>11.3</v>
      </c>
      <c r="V29" s="32">
        <v>0</v>
      </c>
      <c r="W29" s="32">
        <v>0</v>
      </c>
      <c r="X29" s="81">
        <f t="shared" si="7"/>
        <v>11.3</v>
      </c>
      <c r="Y29" s="138"/>
      <c r="Z29" s="138"/>
      <c r="AA29" s="43"/>
      <c r="AB29" s="157" t="str">
        <f t="shared" si="8"/>
        <v/>
      </c>
      <c r="AC29" s="175" t="str">
        <f t="shared" si="9"/>
        <v/>
      </c>
      <c r="AD29" s="205">
        <f>G29+I29-(2*RELEVER!T29)+100</f>
        <v>2495</v>
      </c>
      <c r="AE29" s="208">
        <f>CHOOSE(MATCH(B29,{"Galandage";"Oscilotbattant";"Fixe";"Coulissant"},0),115+RELEVER!L29,RELEVER!L29+112,RELEVER!L29+79,RELEVER!L29+115,"")</f>
        <v>2666</v>
      </c>
      <c r="AF29" s="56"/>
      <c r="AG29" s="56"/>
      <c r="AH29" s="56"/>
      <c r="AI29" s="56"/>
    </row>
    <row r="30" spans="1:35" ht="15.75" thickBot="1" x14ac:dyDescent="0.3">
      <c r="A30" s="18" t="str">
        <f>RELEVER!A30</f>
        <v>ME29</v>
      </c>
      <c r="B30" s="18" t="str">
        <f>RELEVER!B30</f>
        <v>Fixe</v>
      </c>
      <c r="C30" s="19">
        <v>1</v>
      </c>
      <c r="D30" s="19">
        <v>1</v>
      </c>
      <c r="E30" s="21"/>
      <c r="F30" s="21">
        <v>70</v>
      </c>
      <c r="G30" s="23">
        <f>RELEVER!I30</f>
        <v>2430</v>
      </c>
      <c r="H30" s="23">
        <f>RELEVER!J30</f>
        <v>2595</v>
      </c>
      <c r="I30" s="23">
        <v>0</v>
      </c>
      <c r="J30" s="23">
        <f>RELEVER!S30</f>
        <v>0</v>
      </c>
      <c r="K30" s="126" t="s">
        <v>42</v>
      </c>
      <c r="L30" s="109">
        <f t="shared" si="3"/>
        <v>4.6624999999999996</v>
      </c>
      <c r="M30" s="109">
        <f t="shared" si="4"/>
        <v>6.6187500000000004</v>
      </c>
      <c r="N30" s="109">
        <f t="shared" si="0"/>
        <v>11.28125</v>
      </c>
      <c r="O30" s="23"/>
      <c r="P30" s="134" t="str">
        <f t="shared" si="1"/>
        <v>0</v>
      </c>
      <c r="Q30" s="18"/>
      <c r="R30" s="109">
        <f t="shared" si="2"/>
        <v>11.28125</v>
      </c>
      <c r="S30" s="109" t="s">
        <v>93</v>
      </c>
      <c r="T30" s="109">
        <f t="shared" si="5"/>
        <v>11.28125</v>
      </c>
      <c r="U30" s="109">
        <f t="shared" si="6"/>
        <v>11.28125</v>
      </c>
      <c r="V30" s="18">
        <v>0</v>
      </c>
      <c r="W30" s="18">
        <v>0</v>
      </c>
      <c r="X30" s="109">
        <f t="shared" si="7"/>
        <v>11.28125</v>
      </c>
      <c r="Y30" s="18"/>
      <c r="Z30" s="18"/>
      <c r="AA30" s="172"/>
      <c r="AB30" s="24" t="str">
        <f t="shared" si="8"/>
        <v/>
      </c>
      <c r="AC30" s="177" t="str">
        <f t="shared" si="9"/>
        <v/>
      </c>
      <c r="AD30" s="206">
        <f>G30+I30-(2*RELEVER!T30)+100</f>
        <v>2480</v>
      </c>
      <c r="AE30" s="208">
        <f>CHOOSE(MATCH(B30,{"Galandage";"Oscilotbattant";"Fixe";"Coulissant"},0),115+RELEVER!L30,RELEVER!L30+112,RELEVER!L30+79,RELEVER!L30+115,"")</f>
        <v>2666</v>
      </c>
      <c r="AF30" s="21"/>
      <c r="AG30" s="21"/>
      <c r="AH30" s="21"/>
      <c r="AI30" s="21"/>
    </row>
    <row r="31" spans="1:35" s="35" customFormat="1" ht="15.75" thickBot="1" x14ac:dyDescent="0.3">
      <c r="A31" s="32" t="str">
        <f>RELEVER!A31</f>
        <v>ME30</v>
      </c>
      <c r="B31" s="32" t="str">
        <f>RELEVER!B31</f>
        <v>Fixe</v>
      </c>
      <c r="C31" s="46">
        <v>1</v>
      </c>
      <c r="D31" s="46">
        <v>1</v>
      </c>
      <c r="E31" s="56"/>
      <c r="F31" s="56">
        <v>70</v>
      </c>
      <c r="G31" s="118">
        <f>RELEVER!I31</f>
        <v>2445</v>
      </c>
      <c r="H31" s="118">
        <f>RELEVER!J31</f>
        <v>2595</v>
      </c>
      <c r="I31" s="118">
        <v>0</v>
      </c>
      <c r="J31" s="118">
        <f>RELEVER!S31</f>
        <v>0</v>
      </c>
      <c r="K31" s="125" t="s">
        <v>42</v>
      </c>
      <c r="L31" s="99">
        <f t="shared" si="3"/>
        <v>4.6812500000000004</v>
      </c>
      <c r="M31" s="99">
        <f t="shared" si="4"/>
        <v>6.6187500000000004</v>
      </c>
      <c r="N31" s="99">
        <f t="shared" si="0"/>
        <v>11.3</v>
      </c>
      <c r="O31" s="118"/>
      <c r="P31" s="132" t="str">
        <f t="shared" si="1"/>
        <v>0</v>
      </c>
      <c r="Q31" s="32"/>
      <c r="R31" s="99">
        <f t="shared" si="2"/>
        <v>11.3</v>
      </c>
      <c r="S31" s="99" t="s">
        <v>93</v>
      </c>
      <c r="T31" s="99">
        <f t="shared" si="5"/>
        <v>11.3</v>
      </c>
      <c r="U31" s="81">
        <f t="shared" si="6"/>
        <v>11.3</v>
      </c>
      <c r="V31" s="32">
        <v>0</v>
      </c>
      <c r="W31" s="32">
        <v>0</v>
      </c>
      <c r="X31" s="81">
        <f t="shared" si="7"/>
        <v>11.3</v>
      </c>
      <c r="Y31" s="138"/>
      <c r="Z31" s="138"/>
      <c r="AA31" s="43"/>
      <c r="AB31" s="157" t="str">
        <f t="shared" si="8"/>
        <v/>
      </c>
      <c r="AC31" s="175" t="str">
        <f t="shared" si="9"/>
        <v/>
      </c>
      <c r="AD31" s="205">
        <f>G31+I31-(2*RELEVER!T31)+100</f>
        <v>2495</v>
      </c>
      <c r="AE31" s="208">
        <f>CHOOSE(MATCH(B31,{"Galandage";"Oscilotbattant";"Fixe";"Coulissant"},0),115+RELEVER!L31,RELEVER!L31+112,RELEVER!L31+79,RELEVER!L31+115,"")</f>
        <v>2666</v>
      </c>
      <c r="AF31" s="56"/>
      <c r="AG31" s="56"/>
      <c r="AH31" s="56"/>
      <c r="AI31" s="56"/>
    </row>
    <row r="32" spans="1:35" ht="15.75" thickBot="1" x14ac:dyDescent="0.3">
      <c r="A32" s="18" t="str">
        <f>RELEVER!A32</f>
        <v>ME31</v>
      </c>
      <c r="B32" s="18" t="str">
        <f>RELEVER!B32</f>
        <v>Coulissant</v>
      </c>
      <c r="C32" s="19">
        <v>4</v>
      </c>
      <c r="D32" s="19">
        <v>2</v>
      </c>
      <c r="E32" s="21"/>
      <c r="F32" s="21">
        <v>125.4</v>
      </c>
      <c r="G32" s="22">
        <f>RELEVER!I32</f>
        <v>8438</v>
      </c>
      <c r="H32" s="22">
        <f>RELEVER!J32</f>
        <v>2985</v>
      </c>
      <c r="I32" s="22">
        <v>0</v>
      </c>
      <c r="J32" s="23">
        <f>RELEVER!S32</f>
        <v>0</v>
      </c>
      <c r="K32" s="126" t="s">
        <v>42</v>
      </c>
      <c r="L32" s="109">
        <f t="shared" si="3"/>
        <v>12.172499999999999</v>
      </c>
      <c r="M32" s="109">
        <f t="shared" si="4"/>
        <v>7.1062500000000002</v>
      </c>
      <c r="N32" s="109">
        <f t="shared" si="0"/>
        <v>19.278749999999999</v>
      </c>
      <c r="O32" s="23" t="s">
        <v>98</v>
      </c>
      <c r="P32" s="134" t="str">
        <f t="shared" si="1"/>
        <v>0</v>
      </c>
      <c r="Q32" s="18"/>
      <c r="R32" s="109">
        <f t="shared" si="2"/>
        <v>19.278749999999999</v>
      </c>
      <c r="S32" s="109" t="s">
        <v>93</v>
      </c>
      <c r="T32" s="109">
        <f t="shared" si="5"/>
        <v>19.278749999999999</v>
      </c>
      <c r="U32" s="109">
        <f t="shared" si="6"/>
        <v>19.278749999999999</v>
      </c>
      <c r="V32" s="18">
        <v>0</v>
      </c>
      <c r="W32" s="18">
        <v>0</v>
      </c>
      <c r="X32" s="109">
        <f t="shared" si="7"/>
        <v>19.278749999999999</v>
      </c>
      <c r="Y32" s="18">
        <f t="shared" si="10"/>
        <v>8438</v>
      </c>
      <c r="Z32" s="18"/>
      <c r="AA32" s="172" t="s">
        <v>104</v>
      </c>
      <c r="AB32" s="24" t="str">
        <f t="shared" si="8"/>
        <v/>
      </c>
      <c r="AC32" s="177" t="str">
        <f t="shared" si="9"/>
        <v/>
      </c>
      <c r="AD32" s="206">
        <f>G32+I32-(2*RELEVER!T32)+100</f>
        <v>8538</v>
      </c>
      <c r="AE32" s="208">
        <f>CHOOSE(MATCH(B32,{"Galandage";"Oscilotbattant";"Fixe";"Coulissant"},0),115+RELEVER!L32,RELEVER!L32+112,RELEVER!L32+79,RELEVER!L32+115,"")</f>
        <v>3092</v>
      </c>
      <c r="AF32" s="21"/>
      <c r="AG32" s="21"/>
      <c r="AH32" s="21"/>
      <c r="AI32" s="21"/>
    </row>
    <row r="33" spans="1:35" s="35" customFormat="1" ht="15.75" thickBot="1" x14ac:dyDescent="0.3">
      <c r="A33" s="32">
        <f>RELEVER!A33</f>
        <v>0</v>
      </c>
      <c r="B33" s="32" t="str">
        <f>RELEVER!B33</f>
        <v>Porte garage</v>
      </c>
      <c r="C33" s="46">
        <v>1</v>
      </c>
      <c r="D33" s="46">
        <v>0</v>
      </c>
      <c r="E33" s="56"/>
      <c r="F33" s="56"/>
      <c r="G33" s="118">
        <v>3010</v>
      </c>
      <c r="H33" s="118">
        <f>RELEVER!J33</f>
        <v>2460</v>
      </c>
      <c r="I33" s="118">
        <v>0</v>
      </c>
      <c r="J33" s="118">
        <f>RELEVER!S33</f>
        <v>0</v>
      </c>
      <c r="K33" s="125" t="s">
        <v>61</v>
      </c>
      <c r="L33" s="99">
        <f t="shared" si="3"/>
        <v>5.3875000000000002</v>
      </c>
      <c r="M33" s="99">
        <f t="shared" si="4"/>
        <v>6.45</v>
      </c>
      <c r="N33" s="99">
        <f t="shared" si="0"/>
        <v>11.8375</v>
      </c>
      <c r="O33" s="118"/>
      <c r="P33" s="132" t="str">
        <f t="shared" si="1"/>
        <v>0</v>
      </c>
      <c r="Q33" s="32"/>
      <c r="R33" s="99">
        <f t="shared" si="2"/>
        <v>11.8375</v>
      </c>
      <c r="S33" s="99"/>
      <c r="T33" s="32"/>
      <c r="U33" s="81">
        <f t="shared" si="6"/>
        <v>11.8375</v>
      </c>
      <c r="V33" s="32">
        <v>0</v>
      </c>
      <c r="W33" s="32">
        <v>0</v>
      </c>
      <c r="X33" s="81">
        <f t="shared" si="7"/>
        <v>11.8375</v>
      </c>
      <c r="Y33" s="138"/>
      <c r="Z33" s="138"/>
      <c r="AA33" s="43"/>
      <c r="AB33" s="157" t="str">
        <f t="shared" si="8"/>
        <v/>
      </c>
      <c r="AC33" s="175" t="str">
        <f t="shared" si="9"/>
        <v/>
      </c>
      <c r="AD33" s="205">
        <f>G33+I33-(2*RELEVER!T33)+100</f>
        <v>3110</v>
      </c>
      <c r="AE33" s="208" t="e">
        <f>CHOOSE(MATCH(B33,{"Galandage";"Oscilotbattant";"Fixe";"Coulissant"},0),115+RELEVER!L33,RELEVER!L33+112,RELEVER!L33+79,RELEVER!L33+115,"")</f>
        <v>#N/A</v>
      </c>
      <c r="AF33" s="56"/>
      <c r="AG33" s="56"/>
      <c r="AH33" s="56"/>
      <c r="AI33" s="56"/>
    </row>
    <row r="34" spans="1:35" ht="15.75" thickBot="1" x14ac:dyDescent="0.3">
      <c r="A34" s="11">
        <f>RELEVER!A34</f>
        <v>0</v>
      </c>
      <c r="B34" s="11" t="str">
        <f>RELEVER!B34</f>
        <v>Porte garage</v>
      </c>
      <c r="C34" s="12">
        <v>1</v>
      </c>
      <c r="D34" s="12">
        <v>0</v>
      </c>
      <c r="E34" s="14"/>
      <c r="F34" s="14"/>
      <c r="G34" s="15">
        <f>RELEVER!I34</f>
        <v>3010</v>
      </c>
      <c r="H34" s="15">
        <f>RELEVER!J34</f>
        <v>2465</v>
      </c>
      <c r="I34" s="15">
        <v>0</v>
      </c>
      <c r="J34" s="15">
        <f>RELEVER!S34</f>
        <v>0</v>
      </c>
      <c r="K34" s="127" t="s">
        <v>61</v>
      </c>
      <c r="L34" s="110">
        <f t="shared" si="3"/>
        <v>5.3875000000000002</v>
      </c>
      <c r="M34" s="110">
        <f t="shared" si="4"/>
        <v>6.4562499999999998</v>
      </c>
      <c r="N34" s="110">
        <f t="shared" si="0"/>
        <v>11.84375</v>
      </c>
      <c r="O34" s="15"/>
      <c r="P34" s="135" t="str">
        <f t="shared" si="1"/>
        <v>0</v>
      </c>
      <c r="Q34" s="11"/>
      <c r="R34" s="110">
        <f t="shared" si="2"/>
        <v>11.84375</v>
      </c>
      <c r="S34" s="110"/>
      <c r="T34" s="11"/>
      <c r="U34" s="110">
        <f t="shared" si="6"/>
        <v>11.84375</v>
      </c>
      <c r="V34" s="11">
        <v>0</v>
      </c>
      <c r="W34" s="11">
        <v>0</v>
      </c>
      <c r="X34" s="110">
        <f t="shared" si="7"/>
        <v>11.84375</v>
      </c>
      <c r="Y34" s="11"/>
      <c r="Z34" s="11"/>
      <c r="AA34" s="173"/>
      <c r="AB34" s="16" t="str">
        <f t="shared" si="8"/>
        <v/>
      </c>
      <c r="AC34" s="178" t="str">
        <f t="shared" si="9"/>
        <v/>
      </c>
      <c r="AD34" s="207">
        <f>G34+I34-(2*RELEVER!T34)+100</f>
        <v>3110</v>
      </c>
      <c r="AE34" s="208" t="e">
        <f>CHOOSE(MATCH(B34,{"Galandage";"Oscilotbattant";"Fixe";"Coulissant"},0),115+RELEVER!L34,RELEVER!L34+112,RELEVER!L34+79,RELEVER!L34+115,"")</f>
        <v>#N/A</v>
      </c>
      <c r="AF34" s="14"/>
      <c r="AG34" s="14"/>
      <c r="AH34" s="14"/>
      <c r="AI34" s="14"/>
    </row>
    <row r="35" spans="1:35" ht="26.25" x14ac:dyDescent="0.4">
      <c r="A35" s="111"/>
      <c r="C35" s="2"/>
      <c r="D35" s="2"/>
      <c r="G35" s="1"/>
      <c r="H35" s="33"/>
      <c r="I35" s="3"/>
      <c r="J35" s="3"/>
      <c r="K35" s="3"/>
      <c r="L35" s="1"/>
      <c r="N35" s="33">
        <f>SUM(N2:N34)</f>
        <v>331.06437499999998</v>
      </c>
      <c r="O35" s="1"/>
      <c r="P35" s="34">
        <f>ROUNDUP(SUM(P2:P34)/3000,0)</f>
        <v>4</v>
      </c>
      <c r="R35" s="33">
        <f>SUM(R2:R34)</f>
        <v>331.06437499999998</v>
      </c>
      <c r="S35" s="1"/>
    </row>
  </sheetData>
  <pageMargins left="0.7" right="0.7" top="0.75" bottom="0.75" header="0.3" footer="0.3"/>
  <pageSetup paperSize="8" scale="4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BDE2B-A48A-45FD-9BA8-BA6B09DAE876}">
  <sheetPr codeName="Feuil4">
    <pageSetUpPr fitToPage="1"/>
  </sheetPr>
  <dimension ref="A1:W33"/>
  <sheetViews>
    <sheetView zoomScaleNormal="100" zoomScalePageLayoutView="75" workbookViewId="0">
      <selection activeCell="A17" sqref="A17:XFD17"/>
    </sheetView>
  </sheetViews>
  <sheetFormatPr baseColWidth="10" defaultColWidth="11.42578125" defaultRowHeight="15" x14ac:dyDescent="0.25"/>
  <cols>
    <col min="1" max="1" width="8.28515625" customWidth="1"/>
    <col min="2" max="2" width="15.42578125" customWidth="1"/>
    <col min="3" max="3" width="11.5703125" customWidth="1"/>
    <col min="4" max="4" width="9.7109375" customWidth="1"/>
    <col min="5" max="5" width="9.85546875" customWidth="1"/>
    <col min="6" max="6" width="11.5703125" customWidth="1"/>
    <col min="7" max="7" width="8.7109375" style="1" customWidth="1"/>
    <col min="8" max="8" width="11.7109375" customWidth="1"/>
    <col min="9" max="9" width="9.140625" style="1" customWidth="1"/>
    <col min="10" max="10" width="15.7109375" customWidth="1"/>
    <col min="11" max="11" width="14.28515625" customWidth="1"/>
    <col min="12" max="12" width="14.140625" customWidth="1"/>
    <col min="13" max="13" width="10.140625" style="1" customWidth="1"/>
    <col min="14" max="14" width="8" style="1" customWidth="1"/>
    <col min="16" max="16" width="11.42578125" style="1"/>
    <col min="18" max="18" width="11.42578125" style="1"/>
    <col min="19" max="19" width="13.42578125" customWidth="1"/>
    <col min="20" max="20" width="14.85546875" customWidth="1"/>
    <col min="22" max="22" width="11.42578125" style="1"/>
  </cols>
  <sheetData>
    <row r="1" spans="1:23" ht="15.75" thickBot="1" x14ac:dyDescent="0.3">
      <c r="F1" s="213" t="s">
        <v>110</v>
      </c>
      <c r="G1" s="214"/>
      <c r="H1" s="214"/>
      <c r="I1" s="214"/>
      <c r="J1" s="214"/>
      <c r="K1" s="214"/>
      <c r="L1" s="214"/>
      <c r="M1" s="214"/>
      <c r="N1" s="215"/>
      <c r="O1" s="216" t="s">
        <v>111</v>
      </c>
      <c r="P1" s="217"/>
      <c r="Q1" s="217"/>
      <c r="R1" s="217"/>
      <c r="S1" s="217"/>
      <c r="T1" s="217"/>
      <c r="U1" s="217"/>
      <c r="V1" s="218"/>
    </row>
    <row r="2" spans="1:23" ht="45.75" customHeight="1" thickBot="1" x14ac:dyDescent="0.3">
      <c r="A2" s="143" t="s">
        <v>4</v>
      </c>
      <c r="B2" s="143" t="s">
        <v>1</v>
      </c>
      <c r="C2" s="144" t="s">
        <v>82</v>
      </c>
      <c r="D2" s="146" t="s">
        <v>7</v>
      </c>
      <c r="E2" s="146" t="s">
        <v>8</v>
      </c>
      <c r="F2" s="146" t="s">
        <v>115</v>
      </c>
      <c r="G2" s="145" t="s">
        <v>116</v>
      </c>
      <c r="H2" s="146" t="s">
        <v>112</v>
      </c>
      <c r="I2" s="145" t="s">
        <v>116</v>
      </c>
      <c r="J2" s="146" t="s">
        <v>106</v>
      </c>
      <c r="K2" s="146" t="s">
        <v>107</v>
      </c>
      <c r="L2" s="146" t="s">
        <v>108</v>
      </c>
      <c r="M2" s="147" t="s">
        <v>116</v>
      </c>
      <c r="N2" s="147" t="s">
        <v>109</v>
      </c>
      <c r="O2" s="146" t="s">
        <v>115</v>
      </c>
      <c r="P2" s="145" t="s">
        <v>116</v>
      </c>
      <c r="Q2" s="146" t="s">
        <v>113</v>
      </c>
      <c r="R2" s="145" t="s">
        <v>116</v>
      </c>
      <c r="S2" s="146" t="s">
        <v>106</v>
      </c>
      <c r="T2" s="146" t="s">
        <v>107</v>
      </c>
      <c r="U2" s="146" t="s">
        <v>108</v>
      </c>
      <c r="V2" s="147" t="s">
        <v>109</v>
      </c>
      <c r="W2" s="146" t="s">
        <v>117</v>
      </c>
    </row>
    <row r="3" spans="1:23" x14ac:dyDescent="0.25">
      <c r="A3" s="181" t="str">
        <f>RELEVER!A2</f>
        <v>ME01</v>
      </c>
      <c r="B3" s="48" t="s">
        <v>84</v>
      </c>
      <c r="C3" s="49">
        <v>1</v>
      </c>
      <c r="D3" s="50">
        <v>943</v>
      </c>
      <c r="E3" s="63">
        <v>2410</v>
      </c>
      <c r="F3" s="51">
        <f>IFERROR(D3-RELEVER!O2*2-CHOOSE(MATCH(B3,{"Galandage";"Oscilot-battant";"Fixe";"Coulissant"},0),70,60,60,2+(C3-1)*25),"")</f>
        <v>857</v>
      </c>
      <c r="G3" s="70">
        <v>2</v>
      </c>
      <c r="H3" s="51">
        <f>IFERROR(E3-RELEVER!O2-CHOOSE(MATCH(B3,{"Galandage";"Oscilot-battant";"Fixe";"Coulissant"},0),30,30,60,30),"")</f>
        <v>2372</v>
      </c>
      <c r="I3" s="57">
        <v>2</v>
      </c>
      <c r="J3" s="51">
        <f>H3</f>
        <v>2372</v>
      </c>
      <c r="K3" s="51">
        <f>F3</f>
        <v>857</v>
      </c>
      <c r="L3" s="51">
        <f t="shared" ref="L3:L33" si="0">E3</f>
        <v>2410</v>
      </c>
      <c r="M3" s="70">
        <v>2</v>
      </c>
      <c r="N3" s="182">
        <f>(((J3+K3)*2)*2)/600+4</f>
        <v>25.526666666666667</v>
      </c>
      <c r="O3" s="183">
        <f>IFERROR(D3-RELEVER!O2*2-CHOOSE(MATCH(B3,{"Galandage";"Oscilot-battant";"Fixe";"Coulissant"},0),27,60,60,2+(C3-1)*25),"")</f>
        <v>900</v>
      </c>
      <c r="P3" s="70">
        <v>2</v>
      </c>
      <c r="Q3" s="184">
        <f>IFERROR(E3-RELEVER!O2-CHOOSE(MATCH(B3,{"Galandage";"Oscilot-battant";"Fixe";"Coulissant"},0),30,101,60,35),"")</f>
        <v>2372</v>
      </c>
      <c r="R3" s="59">
        <v>2</v>
      </c>
      <c r="S3" s="79">
        <f>Q3</f>
        <v>2372</v>
      </c>
      <c r="T3" s="51">
        <f>O3</f>
        <v>900</v>
      </c>
      <c r="U3" s="94">
        <f>S3</f>
        <v>2372</v>
      </c>
      <c r="V3" s="182">
        <f>(((S3+T3)*2)*2)/600+4</f>
        <v>25.813333333333333</v>
      </c>
      <c r="W3" s="59">
        <f>N3+V3</f>
        <v>51.34</v>
      </c>
    </row>
    <row r="4" spans="1:23" x14ac:dyDescent="0.25">
      <c r="A4" s="41" t="str">
        <f>RELEVER!A3</f>
        <v>ME02</v>
      </c>
      <c r="B4" s="43" t="s">
        <v>40</v>
      </c>
      <c r="C4" s="46">
        <v>1</v>
      </c>
      <c r="D4" s="8">
        <v>945</v>
      </c>
      <c r="E4" s="64">
        <v>1350</v>
      </c>
      <c r="F4" s="56">
        <f>IFERROR(D4-RELEVER!O3*2-CHOOSE(MATCH(B4,{"Galandage";"Oscilot-battant";"Fixe";"Coulissant"},0),70,60,60,2+(C4-1)*25),"")</f>
        <v>869</v>
      </c>
      <c r="G4" s="69">
        <v>2</v>
      </c>
      <c r="H4" s="56">
        <f>IFERROR(E4-RELEVER!O3-CHOOSE(MATCH(B4,{"Galandage";"Oscilot-battant";"Fixe";"Coulissant"},0),30,30,60,30),"")</f>
        <v>1312</v>
      </c>
      <c r="I4" s="58">
        <v>2</v>
      </c>
      <c r="J4" s="55">
        <f>H4</f>
        <v>1312</v>
      </c>
      <c r="K4" s="55">
        <f t="shared" ref="K4:K33" si="1">F4</f>
        <v>869</v>
      </c>
      <c r="L4" s="54">
        <f t="shared" si="0"/>
        <v>1350</v>
      </c>
      <c r="M4" s="89">
        <v>2</v>
      </c>
      <c r="N4" s="99">
        <f t="shared" ref="N4:N33" si="2">(((J4+K4)*2)*2)/600+4</f>
        <v>18.54</v>
      </c>
      <c r="O4" s="90">
        <f>IFERROR(D4-RELEVER!O3*2-CHOOSE(MATCH(B4,{"Galandage";"Oscilot-battant";"Fixe";"Coulissant"},0),27,60,60,2+(C4-1)*25),"")</f>
        <v>869</v>
      </c>
      <c r="P4" s="72">
        <v>2</v>
      </c>
      <c r="Q4" s="75">
        <f>IFERROR(E4-RELEVER!O3-CHOOSE(MATCH(B4,{"Galandage";"Oscilot-battant";"Fixe";"Coulissant"},0),30,101,60,35),"")</f>
        <v>1241</v>
      </c>
      <c r="R4" s="60">
        <v>2</v>
      </c>
      <c r="S4" s="78">
        <f t="shared" ref="S4:S33" si="3">Q4</f>
        <v>1241</v>
      </c>
      <c r="T4" s="56">
        <f>O4</f>
        <v>869</v>
      </c>
      <c r="U4" s="93">
        <f t="shared" ref="U4:U33" si="4">S4</f>
        <v>1241</v>
      </c>
      <c r="V4" s="99">
        <f t="shared" ref="V4:V33" si="5">(((S4+T4)*2)*2)/600+4</f>
        <v>18.066666666666666</v>
      </c>
      <c r="W4" s="96">
        <f t="shared" ref="W4:W33" si="6">N4+V4</f>
        <v>36.606666666666669</v>
      </c>
    </row>
    <row r="5" spans="1:23" x14ac:dyDescent="0.25">
      <c r="A5" s="40" t="str">
        <f>RELEVER!A4</f>
        <v>ME03</v>
      </c>
      <c r="B5" s="42" t="s">
        <v>85</v>
      </c>
      <c r="C5" s="45">
        <v>1</v>
      </c>
      <c r="D5" s="36">
        <v>2710</v>
      </c>
      <c r="E5" s="65">
        <v>2625</v>
      </c>
      <c r="F5" s="52">
        <f>IFERROR(D5-RELEVER!O4*2-CHOOSE(MATCH(B5,{"Galandage";"Oscilot-battant";"Fixe";"Coulissant"},0),70,60,60,2+(C5-1)*25),"")</f>
        <v>2634</v>
      </c>
      <c r="G5" s="70">
        <v>2</v>
      </c>
      <c r="H5" s="52">
        <f>IFERROR(E5-RELEVER!O4-CHOOSE(MATCH(B5,{"Galandage";"Oscilot-battant";"Fixe";"Coulissant"},0),30,30,60,30),"")</f>
        <v>2557</v>
      </c>
      <c r="I5" s="57">
        <v>2</v>
      </c>
      <c r="J5" s="51">
        <f t="shared" ref="J5:J33" si="7">H5</f>
        <v>2557</v>
      </c>
      <c r="K5" s="51">
        <f t="shared" si="1"/>
        <v>2634</v>
      </c>
      <c r="L5" s="52">
        <f t="shared" si="0"/>
        <v>2625</v>
      </c>
      <c r="M5" s="73">
        <v>2</v>
      </c>
      <c r="N5" s="82">
        <f t="shared" si="2"/>
        <v>38.606666666666669</v>
      </c>
      <c r="O5" s="91">
        <f>IFERROR(D5-RELEVER!O4*2-CHOOSE(MATCH(B5,{"Galandage";"Oscilot-battant";"Fixe";"Coulissant"},0),27,60,60,2+(C5-1)*25),"")</f>
        <v>2634</v>
      </c>
      <c r="P5" s="73">
        <v>2</v>
      </c>
      <c r="Q5" s="76">
        <f>IFERROR(E5-RELEVER!O4-CHOOSE(MATCH(B5,{"Galandage";"Oscilot-battant";"Fixe";"Coulissant"},0),30,101,60,35),"")</f>
        <v>2557</v>
      </c>
      <c r="R5" s="59">
        <v>2</v>
      </c>
      <c r="S5" s="79">
        <f t="shared" si="3"/>
        <v>2557</v>
      </c>
      <c r="T5" s="52">
        <f t="shared" ref="T5:T33" si="8">O5</f>
        <v>2634</v>
      </c>
      <c r="U5" s="94">
        <f t="shared" si="4"/>
        <v>2557</v>
      </c>
      <c r="V5" s="82">
        <f t="shared" si="5"/>
        <v>38.606666666666669</v>
      </c>
      <c r="W5" s="97">
        <f t="shared" si="6"/>
        <v>77.213333333333338</v>
      </c>
    </row>
    <row r="6" spans="1:23" x14ac:dyDescent="0.25">
      <c r="A6" s="41" t="str">
        <f>RELEVER!A5</f>
        <v>ME04</v>
      </c>
      <c r="B6" s="43" t="s">
        <v>84</v>
      </c>
      <c r="C6" s="46">
        <v>1</v>
      </c>
      <c r="D6" s="8">
        <v>915</v>
      </c>
      <c r="E6" s="64">
        <v>1510</v>
      </c>
      <c r="F6" s="56">
        <f>IFERROR(D6-RELEVER!O5*2-CHOOSE(MATCH(B6,{"Galandage";"Oscilot-battant";"Fixe";"Coulissant"},0),70,60,60,2+(C6-1)*25),"")</f>
        <v>829</v>
      </c>
      <c r="G6" s="69">
        <v>2</v>
      </c>
      <c r="H6" s="56">
        <f>IFERROR(E6-RELEVER!O5-CHOOSE(MATCH(B6,{"Galandage";"Oscilot-battant";"Fixe";"Coulissant"},0),30,30,60,30),"")</f>
        <v>1472</v>
      </c>
      <c r="I6" s="58">
        <v>2</v>
      </c>
      <c r="J6" s="55">
        <f t="shared" si="7"/>
        <v>1472</v>
      </c>
      <c r="K6" s="55">
        <f t="shared" si="1"/>
        <v>829</v>
      </c>
      <c r="L6" s="54">
        <f t="shared" si="0"/>
        <v>1510</v>
      </c>
      <c r="M6" s="89">
        <v>2</v>
      </c>
      <c r="N6" s="99">
        <f t="shared" si="2"/>
        <v>19.34</v>
      </c>
      <c r="O6" s="90">
        <f>IFERROR(D6-RELEVER!O5*2-CHOOSE(MATCH(B6,{"Galandage";"Oscilot-battant";"Fixe";"Coulissant"},0),27,60,60,2+(C6-1)*25),"")</f>
        <v>872</v>
      </c>
      <c r="P6" s="72">
        <v>2</v>
      </c>
      <c r="Q6" s="75">
        <f>IFERROR(E6-RELEVER!O5-CHOOSE(MATCH(B6,{"Galandage";"Oscilot-battant";"Fixe";"Coulissant"},0),30,101,60,35),"")</f>
        <v>1472</v>
      </c>
      <c r="R6" s="60">
        <v>2</v>
      </c>
      <c r="S6" s="78">
        <f t="shared" si="3"/>
        <v>1472</v>
      </c>
      <c r="T6" s="56">
        <f t="shared" si="8"/>
        <v>872</v>
      </c>
      <c r="U6" s="93">
        <f t="shared" si="4"/>
        <v>1472</v>
      </c>
      <c r="V6" s="99">
        <f t="shared" si="5"/>
        <v>19.626666666666665</v>
      </c>
      <c r="W6" s="96">
        <f t="shared" si="6"/>
        <v>38.966666666666669</v>
      </c>
    </row>
    <row r="7" spans="1:23" x14ac:dyDescent="0.25">
      <c r="A7" s="40" t="str">
        <f>RELEVER!A6</f>
        <v>ME05</v>
      </c>
      <c r="B7" s="42" t="s">
        <v>40</v>
      </c>
      <c r="C7" s="45">
        <v>1</v>
      </c>
      <c r="D7" s="36">
        <v>620</v>
      </c>
      <c r="E7" s="65">
        <v>1510</v>
      </c>
      <c r="F7" s="52">
        <f>IFERROR(D7-RELEVER!O6*2-CHOOSE(MATCH(B7,{"Galandage";"Oscilot-battant";"Fixe";"Coulissant"},0),70,60,60,2+(C7-1)*25),"")</f>
        <v>544</v>
      </c>
      <c r="G7" s="70">
        <v>2</v>
      </c>
      <c r="H7" s="52">
        <f>IFERROR(E7-RELEVER!O6-CHOOSE(MATCH(B7,{"Galandage";"Oscilot-battant";"Fixe";"Coulissant"},0),30,30,60,30),"")</f>
        <v>1472</v>
      </c>
      <c r="I7" s="57">
        <v>2</v>
      </c>
      <c r="J7" s="51">
        <f t="shared" si="7"/>
        <v>1472</v>
      </c>
      <c r="K7" s="51">
        <f t="shared" si="1"/>
        <v>544</v>
      </c>
      <c r="L7" s="52">
        <f t="shared" si="0"/>
        <v>1510</v>
      </c>
      <c r="M7" s="73">
        <v>2</v>
      </c>
      <c r="N7" s="82">
        <f t="shared" si="2"/>
        <v>17.439999999999998</v>
      </c>
      <c r="O7" s="91">
        <f>IFERROR(D7-RELEVER!O6*2-CHOOSE(MATCH(B7,{"Galandage";"Oscilot-battant";"Fixe";"Coulissant"},0),27,60,60,2+(C7-1)*25),"")</f>
        <v>544</v>
      </c>
      <c r="P7" s="73">
        <v>2</v>
      </c>
      <c r="Q7" s="76">
        <f>IFERROR(E7-RELEVER!O6-CHOOSE(MATCH(B7,{"Galandage";"Oscilot-battant";"Fixe";"Coulissant"},0),30,101,60,35),"")</f>
        <v>1401</v>
      </c>
      <c r="R7" s="59">
        <v>2</v>
      </c>
      <c r="S7" s="79">
        <f t="shared" si="3"/>
        <v>1401</v>
      </c>
      <c r="T7" s="52">
        <f t="shared" si="8"/>
        <v>544</v>
      </c>
      <c r="U7" s="94">
        <f t="shared" si="4"/>
        <v>1401</v>
      </c>
      <c r="V7" s="82">
        <f t="shared" si="5"/>
        <v>16.966666666666669</v>
      </c>
      <c r="W7" s="97">
        <f t="shared" si="6"/>
        <v>34.406666666666666</v>
      </c>
    </row>
    <row r="8" spans="1:23" x14ac:dyDescent="0.25">
      <c r="A8" s="41" t="str">
        <f>RELEVER!A7</f>
        <v>ME06</v>
      </c>
      <c r="B8" s="43" t="s">
        <v>40</v>
      </c>
      <c r="C8" s="46">
        <v>1</v>
      </c>
      <c r="D8" s="8">
        <v>620</v>
      </c>
      <c r="E8" s="66">
        <v>1510</v>
      </c>
      <c r="F8" s="56">
        <f>IFERROR(D8-RELEVER!O7*2-CHOOSE(MATCH(B8,{"Galandage";"Oscilot-battant";"Fixe";"Coulissant"},0),70,60,60,2+(C8-1)*25),"")</f>
        <v>544</v>
      </c>
      <c r="G8" s="69">
        <v>2</v>
      </c>
      <c r="H8" s="56">
        <f>IFERROR(E8-RELEVER!O7-CHOOSE(MATCH(B8,{"Galandage";"Oscilot-battant";"Fixe";"Coulissant"},0),30,30,60,30),"")</f>
        <v>1472</v>
      </c>
      <c r="I8" s="58">
        <v>2</v>
      </c>
      <c r="J8" s="55">
        <f t="shared" si="7"/>
        <v>1472</v>
      </c>
      <c r="K8" s="55">
        <f t="shared" si="1"/>
        <v>544</v>
      </c>
      <c r="L8" s="54">
        <f t="shared" si="0"/>
        <v>1510</v>
      </c>
      <c r="M8" s="89">
        <v>2</v>
      </c>
      <c r="N8" s="99">
        <f t="shared" si="2"/>
        <v>17.439999999999998</v>
      </c>
      <c r="O8" s="90">
        <f>IFERROR(D8-RELEVER!O7*2-CHOOSE(MATCH(B8,{"Galandage";"Oscilot-battant";"Fixe";"Coulissant"},0),27,60,60,2+(C8-1)*25),"")</f>
        <v>544</v>
      </c>
      <c r="P8" s="72">
        <v>2</v>
      </c>
      <c r="Q8" s="75">
        <f>IFERROR(E8-RELEVER!O7-CHOOSE(MATCH(B8,{"Galandage";"Oscilot-battant";"Fixe";"Coulissant"},0),30,101,60,35),"")</f>
        <v>1401</v>
      </c>
      <c r="R8" s="60">
        <v>2</v>
      </c>
      <c r="S8" s="78">
        <f t="shared" si="3"/>
        <v>1401</v>
      </c>
      <c r="T8" s="56">
        <f t="shared" si="8"/>
        <v>544</v>
      </c>
      <c r="U8" s="93">
        <f t="shared" si="4"/>
        <v>1401</v>
      </c>
      <c r="V8" s="99">
        <f t="shared" si="5"/>
        <v>16.966666666666669</v>
      </c>
      <c r="W8" s="96">
        <f t="shared" si="6"/>
        <v>34.406666666666666</v>
      </c>
    </row>
    <row r="9" spans="1:23" x14ac:dyDescent="0.25">
      <c r="A9" s="40" t="str">
        <f>RELEVER!A8</f>
        <v>ME07</v>
      </c>
      <c r="B9" s="42" t="s">
        <v>84</v>
      </c>
      <c r="C9" s="45">
        <v>1</v>
      </c>
      <c r="D9" s="36">
        <v>1520</v>
      </c>
      <c r="E9" s="65">
        <v>2400</v>
      </c>
      <c r="F9" s="52">
        <f>IFERROR(D9-RELEVER!O8*2-CHOOSE(MATCH(B9,{"Galandage";"Oscilot-battant";"Fixe";"Coulissant"},0),70,60,60,2+(C9-1)*25),"")</f>
        <v>1434</v>
      </c>
      <c r="G9" s="70">
        <v>2</v>
      </c>
      <c r="H9" s="52">
        <f>IFERROR(E9-RELEVER!O8-CHOOSE(MATCH(B9,{"Galandage";"Oscilot-battant";"Fixe";"Coulissant"},0),30,30,60,30),"")</f>
        <v>2362</v>
      </c>
      <c r="I9" s="57">
        <v>2</v>
      </c>
      <c r="J9" s="51">
        <f t="shared" si="7"/>
        <v>2362</v>
      </c>
      <c r="K9" s="51">
        <f t="shared" si="1"/>
        <v>1434</v>
      </c>
      <c r="L9" s="52">
        <f t="shared" si="0"/>
        <v>2400</v>
      </c>
      <c r="M9" s="73">
        <v>2</v>
      </c>
      <c r="N9" s="82">
        <f t="shared" si="2"/>
        <v>29.306666666666668</v>
      </c>
      <c r="O9" s="91">
        <f>IFERROR(D9-RELEVER!O8*2-CHOOSE(MATCH(B9,{"Galandage";"Oscilot-battant";"Fixe";"Coulissant"},0),27,60,60,2+(C9-1)*25),"")</f>
        <v>1477</v>
      </c>
      <c r="P9" s="73">
        <v>2</v>
      </c>
      <c r="Q9" s="76">
        <f>IFERROR(E9-RELEVER!O8-CHOOSE(MATCH(B9,{"Galandage";"Oscilot-battant";"Fixe";"Coulissant"},0),30,101,60,35),"")</f>
        <v>2362</v>
      </c>
      <c r="R9" s="59">
        <v>2</v>
      </c>
      <c r="S9" s="79">
        <f t="shared" si="3"/>
        <v>2362</v>
      </c>
      <c r="T9" s="52">
        <f t="shared" si="8"/>
        <v>1477</v>
      </c>
      <c r="U9" s="94">
        <f t="shared" si="4"/>
        <v>2362</v>
      </c>
      <c r="V9" s="82">
        <f t="shared" si="5"/>
        <v>29.593333333333334</v>
      </c>
      <c r="W9" s="97">
        <f t="shared" si="6"/>
        <v>58.900000000000006</v>
      </c>
    </row>
    <row r="10" spans="1:23" x14ac:dyDescent="0.25">
      <c r="A10" s="41" t="str">
        <f>RELEVER!A9</f>
        <v>ME08</v>
      </c>
      <c r="B10" s="43" t="s">
        <v>40</v>
      </c>
      <c r="C10" s="46">
        <v>1</v>
      </c>
      <c r="D10" s="8">
        <v>620</v>
      </c>
      <c r="E10" s="64">
        <v>1510</v>
      </c>
      <c r="F10" s="56">
        <f>IFERROR(D10-RELEVER!O9*2-CHOOSE(MATCH(B10,{"Galandage";"Oscilot-battant";"Fixe";"Coulissant"},0),70,60,60,2+(C10-1)*25),"")</f>
        <v>544</v>
      </c>
      <c r="G10" s="69">
        <v>2</v>
      </c>
      <c r="H10" s="56">
        <f>IFERROR(E10-RELEVER!O9-CHOOSE(MATCH(B10,{"Galandage";"Oscilot-battant";"Fixe";"Coulissant"},0),30,30,60,30),"")</f>
        <v>1472</v>
      </c>
      <c r="I10" s="58">
        <v>2</v>
      </c>
      <c r="J10" s="55">
        <f t="shared" si="7"/>
        <v>1472</v>
      </c>
      <c r="K10" s="55">
        <f t="shared" si="1"/>
        <v>544</v>
      </c>
      <c r="L10" s="54">
        <f t="shared" si="0"/>
        <v>1510</v>
      </c>
      <c r="M10" s="89">
        <v>2</v>
      </c>
      <c r="N10" s="99">
        <f t="shared" si="2"/>
        <v>17.439999999999998</v>
      </c>
      <c r="O10" s="90">
        <f>IFERROR(D10-RELEVER!O9*2-CHOOSE(MATCH(B10,{"Galandage";"Oscilot-battant";"Fixe";"Coulissant"},0),27,60,60,2+(C10-1)*25),"")</f>
        <v>544</v>
      </c>
      <c r="P10" s="72">
        <v>2</v>
      </c>
      <c r="Q10" s="75">
        <f>IFERROR(E10-RELEVER!O9-CHOOSE(MATCH(B10,{"Galandage";"Oscilot-battant";"Fixe";"Coulissant"},0),30,101,60,35),"")</f>
        <v>1401</v>
      </c>
      <c r="R10" s="60">
        <v>2</v>
      </c>
      <c r="S10" s="78">
        <f t="shared" si="3"/>
        <v>1401</v>
      </c>
      <c r="T10" s="56">
        <f t="shared" si="8"/>
        <v>544</v>
      </c>
      <c r="U10" s="93">
        <f t="shared" si="4"/>
        <v>1401</v>
      </c>
      <c r="V10" s="99">
        <f t="shared" si="5"/>
        <v>16.966666666666669</v>
      </c>
      <c r="W10" s="96">
        <f t="shared" si="6"/>
        <v>34.406666666666666</v>
      </c>
    </row>
    <row r="11" spans="1:23" x14ac:dyDescent="0.25">
      <c r="A11" s="40" t="str">
        <f>RELEVER!A10</f>
        <v>ME09</v>
      </c>
      <c r="B11" s="42" t="s">
        <v>40</v>
      </c>
      <c r="C11" s="45">
        <v>1</v>
      </c>
      <c r="D11" s="36">
        <v>620</v>
      </c>
      <c r="E11" s="65">
        <v>1510</v>
      </c>
      <c r="F11" s="52">
        <f>IFERROR(D11-RELEVER!O10*2-CHOOSE(MATCH(B11,{"Galandage";"Oscilot-battant";"Fixe";"Coulissant"},0),70,60,60,2+(C11-1)*25),"")</f>
        <v>544</v>
      </c>
      <c r="G11" s="70">
        <v>2</v>
      </c>
      <c r="H11" s="52">
        <f>IFERROR(E11-RELEVER!O10-CHOOSE(MATCH(B11,{"Galandage";"Oscilot-battant";"Fixe";"Coulissant"},0),30,30,60,30),"")</f>
        <v>1472</v>
      </c>
      <c r="I11" s="57">
        <v>2</v>
      </c>
      <c r="J11" s="51">
        <f t="shared" si="7"/>
        <v>1472</v>
      </c>
      <c r="K11" s="51">
        <f t="shared" si="1"/>
        <v>544</v>
      </c>
      <c r="L11" s="52">
        <f t="shared" si="0"/>
        <v>1510</v>
      </c>
      <c r="M11" s="73">
        <v>2</v>
      </c>
      <c r="N11" s="82">
        <f t="shared" si="2"/>
        <v>17.439999999999998</v>
      </c>
      <c r="O11" s="91">
        <f>IFERROR(D11-RELEVER!O10*2-CHOOSE(MATCH(B11,{"Galandage";"Oscilot-battant";"Fixe";"Coulissant"},0),27,60,60,2+(C11-1)*25),"")</f>
        <v>544</v>
      </c>
      <c r="P11" s="73">
        <v>2</v>
      </c>
      <c r="Q11" s="76">
        <f>IFERROR(E11-RELEVER!O10-CHOOSE(MATCH(B11,{"Galandage";"Oscilot-battant";"Fixe";"Coulissant"},0),30,101,60,35),"")</f>
        <v>1401</v>
      </c>
      <c r="R11" s="59">
        <v>2</v>
      </c>
      <c r="S11" s="79">
        <f t="shared" si="3"/>
        <v>1401</v>
      </c>
      <c r="T11" s="52">
        <f t="shared" si="8"/>
        <v>544</v>
      </c>
      <c r="U11" s="94">
        <f t="shared" si="4"/>
        <v>1401</v>
      </c>
      <c r="V11" s="82">
        <f t="shared" si="5"/>
        <v>16.966666666666669</v>
      </c>
      <c r="W11" s="97">
        <f t="shared" si="6"/>
        <v>34.406666666666666</v>
      </c>
    </row>
    <row r="12" spans="1:23" x14ac:dyDescent="0.25">
      <c r="A12" s="41" t="str">
        <f>RELEVER!A11</f>
        <v>ME10</v>
      </c>
      <c r="B12" s="84" t="s">
        <v>84</v>
      </c>
      <c r="C12" s="46">
        <v>1</v>
      </c>
      <c r="D12" s="8">
        <v>1620</v>
      </c>
      <c r="E12" s="64">
        <v>2490</v>
      </c>
      <c r="F12" s="56">
        <f>IFERROR(D12-RELEVER!O11*2-CHOOSE(MATCH(B12,{"Galandage";"Oscilot-battant";"Fixe";"Coulissant"},0),70,60,60,2+(C12-1)*25),"")</f>
        <v>1450</v>
      </c>
      <c r="G12" s="69">
        <v>2</v>
      </c>
      <c r="H12" s="56">
        <f>IFERROR(E12-RELEVER!O11-CHOOSE(MATCH(B12,{"Galandage";"Oscilot-battant";"Fixe";"Coulissant"},0),30,30,60,30),"")</f>
        <v>2410</v>
      </c>
      <c r="I12" s="58">
        <v>2</v>
      </c>
      <c r="J12" s="55">
        <f t="shared" si="7"/>
        <v>2410</v>
      </c>
      <c r="K12" s="55">
        <f t="shared" si="1"/>
        <v>1450</v>
      </c>
      <c r="L12" s="54">
        <f t="shared" si="0"/>
        <v>2490</v>
      </c>
      <c r="M12" s="89">
        <v>2</v>
      </c>
      <c r="N12" s="99">
        <f t="shared" si="2"/>
        <v>29.733333333333334</v>
      </c>
      <c r="O12" s="90">
        <f>IFERROR(D12-RELEVER!O11*2-CHOOSE(MATCH(B12,{"Galandage";"Oscilot-battant";"Fixe";"Coulissant"},0),27,60,60,2+(C12-1)*25),"")</f>
        <v>1493</v>
      </c>
      <c r="P12" s="72">
        <v>2</v>
      </c>
      <c r="Q12" s="75">
        <f>IFERROR(E12-RELEVER!O11-CHOOSE(MATCH(B12,{"Galandage";"Oscilot-battant";"Fixe";"Coulissant"},0),30,101,60,35),"")</f>
        <v>2410</v>
      </c>
      <c r="R12" s="60">
        <v>2</v>
      </c>
      <c r="S12" s="78">
        <f t="shared" si="3"/>
        <v>2410</v>
      </c>
      <c r="T12" s="56">
        <f t="shared" si="8"/>
        <v>1493</v>
      </c>
      <c r="U12" s="93">
        <f t="shared" si="4"/>
        <v>2410</v>
      </c>
      <c r="V12" s="99">
        <f t="shared" si="5"/>
        <v>30.02</v>
      </c>
      <c r="W12" s="96">
        <f t="shared" si="6"/>
        <v>59.75333333333333</v>
      </c>
    </row>
    <row r="13" spans="1:23" x14ac:dyDescent="0.25">
      <c r="A13" s="40" t="str">
        <f>RELEVER!A12</f>
        <v>ME11</v>
      </c>
      <c r="B13" s="48" t="s">
        <v>84</v>
      </c>
      <c r="C13" s="45">
        <v>1</v>
      </c>
      <c r="D13" s="36">
        <v>1520</v>
      </c>
      <c r="E13" s="65">
        <v>2410</v>
      </c>
      <c r="F13" s="52">
        <f>IFERROR(D13-RELEVER!O12*2-CHOOSE(MATCH(B13,{"Galandage";"Oscilot-battant";"Fixe";"Coulissant"},0),70,60,60,2+(C13-1)*25),"")</f>
        <v>1434</v>
      </c>
      <c r="G13" s="70">
        <v>2</v>
      </c>
      <c r="H13" s="52">
        <f>IFERROR(E13-RELEVER!O12-CHOOSE(MATCH(B13,{"Galandage";"Oscilot-battant";"Fixe";"Coulissant"},0),30,30,60,30),"")</f>
        <v>2372</v>
      </c>
      <c r="I13" s="57">
        <v>2</v>
      </c>
      <c r="J13" s="51">
        <f t="shared" si="7"/>
        <v>2372</v>
      </c>
      <c r="K13" s="51">
        <f t="shared" si="1"/>
        <v>1434</v>
      </c>
      <c r="L13" s="52">
        <f t="shared" si="0"/>
        <v>2410</v>
      </c>
      <c r="M13" s="73">
        <v>2</v>
      </c>
      <c r="N13" s="82">
        <f t="shared" si="2"/>
        <v>29.373333333333335</v>
      </c>
      <c r="O13" s="91">
        <f>IFERROR(D13-RELEVER!O12*2-CHOOSE(MATCH(B13,{"Galandage";"Oscilot-battant";"Fixe";"Coulissant"},0),27,60,60,2+(C13-1)*25),"")</f>
        <v>1477</v>
      </c>
      <c r="P13" s="73">
        <v>2</v>
      </c>
      <c r="Q13" s="76">
        <f>IFERROR(E13-RELEVER!O12-CHOOSE(MATCH(B13,{"Galandage";"Oscilot-battant";"Fixe";"Coulissant"},0),30,101,60,35),"")</f>
        <v>2372</v>
      </c>
      <c r="R13" s="59">
        <v>2</v>
      </c>
      <c r="S13" s="79">
        <f t="shared" si="3"/>
        <v>2372</v>
      </c>
      <c r="T13" s="52">
        <f t="shared" si="8"/>
        <v>1477</v>
      </c>
      <c r="U13" s="94">
        <f t="shared" si="4"/>
        <v>2372</v>
      </c>
      <c r="V13" s="82">
        <f t="shared" si="5"/>
        <v>29.66</v>
      </c>
      <c r="W13" s="97">
        <f t="shared" si="6"/>
        <v>59.033333333333331</v>
      </c>
    </row>
    <row r="14" spans="1:23" x14ac:dyDescent="0.25">
      <c r="A14" s="41" t="str">
        <f>RELEVER!A13</f>
        <v>ME12</v>
      </c>
      <c r="B14" s="43" t="s">
        <v>84</v>
      </c>
      <c r="C14" s="46">
        <v>1</v>
      </c>
      <c r="D14" s="8">
        <v>1520</v>
      </c>
      <c r="E14" s="64">
        <v>2415</v>
      </c>
      <c r="F14" s="56">
        <f>IFERROR(D14-RELEVER!O13*2-CHOOSE(MATCH(B14,{"Galandage";"Oscilot-battant";"Fixe";"Coulissant"},0),70,60,60,2+(C14-1)*25),"")</f>
        <v>1434</v>
      </c>
      <c r="G14" s="69">
        <v>2</v>
      </c>
      <c r="H14" s="56">
        <f>IFERROR(E14-RELEVER!O13-CHOOSE(MATCH(B14,{"Galandage";"Oscilot-battant";"Fixe";"Coulissant"},0),30,30,60,30),"")</f>
        <v>2377</v>
      </c>
      <c r="I14" s="58">
        <v>2</v>
      </c>
      <c r="J14" s="55">
        <f t="shared" si="7"/>
        <v>2377</v>
      </c>
      <c r="K14" s="55">
        <f t="shared" si="1"/>
        <v>1434</v>
      </c>
      <c r="L14" s="54">
        <f t="shared" si="0"/>
        <v>2415</v>
      </c>
      <c r="M14" s="89">
        <v>2</v>
      </c>
      <c r="N14" s="99">
        <f t="shared" si="2"/>
        <v>29.406666666666666</v>
      </c>
      <c r="O14" s="90">
        <f>IFERROR(D14-RELEVER!O13*2-CHOOSE(MATCH(B14,{"Galandage";"Oscilot-battant";"Fixe";"Coulissant"},0),27,60,60,2+(C14-1)*25),"")</f>
        <v>1477</v>
      </c>
      <c r="P14" s="72">
        <v>2</v>
      </c>
      <c r="Q14" s="75">
        <f>IFERROR(E14-RELEVER!O13-CHOOSE(MATCH(B14,{"Galandage";"Oscilot-battant";"Fixe";"Coulissant"},0),30,101,60,35),"")</f>
        <v>2377</v>
      </c>
      <c r="R14" s="60">
        <v>2</v>
      </c>
      <c r="S14" s="78">
        <f t="shared" si="3"/>
        <v>2377</v>
      </c>
      <c r="T14" s="56">
        <f t="shared" si="8"/>
        <v>1477</v>
      </c>
      <c r="U14" s="93">
        <f t="shared" si="4"/>
        <v>2377</v>
      </c>
      <c r="V14" s="99">
        <f t="shared" si="5"/>
        <v>29.693333333333332</v>
      </c>
      <c r="W14" s="96">
        <f t="shared" si="6"/>
        <v>59.099999999999994</v>
      </c>
    </row>
    <row r="15" spans="1:23" x14ac:dyDescent="0.25">
      <c r="A15" s="40" t="str">
        <f>RELEVER!A14</f>
        <v>ME13</v>
      </c>
      <c r="B15" s="48" t="s">
        <v>84</v>
      </c>
      <c r="C15" s="45">
        <v>1</v>
      </c>
      <c r="D15" s="36">
        <v>1270</v>
      </c>
      <c r="E15" s="65">
        <v>2415</v>
      </c>
      <c r="F15" s="52">
        <f>IFERROR(D15-RELEVER!O14*2-CHOOSE(MATCH(B15,{"Galandage";"Oscilot-battant";"Fixe";"Coulissant"},0),70,60,60,2+(C15-1)*25),"")</f>
        <v>1184</v>
      </c>
      <c r="G15" s="70">
        <v>2</v>
      </c>
      <c r="H15" s="52">
        <f>IFERROR(E15-RELEVER!O14-CHOOSE(MATCH(B15,{"Galandage";"Oscilot-battant";"Fixe";"Coulissant"},0),30,30,60,30),"")</f>
        <v>2377</v>
      </c>
      <c r="I15" s="57">
        <v>2</v>
      </c>
      <c r="J15" s="51">
        <f t="shared" si="7"/>
        <v>2377</v>
      </c>
      <c r="K15" s="51">
        <f t="shared" si="1"/>
        <v>1184</v>
      </c>
      <c r="L15" s="52">
        <f t="shared" si="0"/>
        <v>2415</v>
      </c>
      <c r="M15" s="73">
        <v>2</v>
      </c>
      <c r="N15" s="82">
        <f t="shared" si="2"/>
        <v>27.74</v>
      </c>
      <c r="O15" s="91">
        <f>IFERROR(D15-RELEVER!O14*2-CHOOSE(MATCH(B15,{"Galandage";"Oscilot-battant";"Fixe";"Coulissant"},0),27,60,60,2+(C15-1)*25),"")</f>
        <v>1227</v>
      </c>
      <c r="P15" s="73">
        <v>2</v>
      </c>
      <c r="Q15" s="76">
        <f>IFERROR(E15-RELEVER!O14-CHOOSE(MATCH(B15,{"Galandage";"Oscilot-battant";"Fixe";"Coulissant"},0),30,101,60,35),"")</f>
        <v>2377</v>
      </c>
      <c r="R15" s="59">
        <v>2</v>
      </c>
      <c r="S15" s="79">
        <f t="shared" si="3"/>
        <v>2377</v>
      </c>
      <c r="T15" s="52">
        <f t="shared" si="8"/>
        <v>1227</v>
      </c>
      <c r="U15" s="94">
        <f t="shared" si="4"/>
        <v>2377</v>
      </c>
      <c r="V15" s="82">
        <f t="shared" si="5"/>
        <v>28.026666666666667</v>
      </c>
      <c r="W15" s="97">
        <f t="shared" si="6"/>
        <v>55.766666666666666</v>
      </c>
    </row>
    <row r="16" spans="1:23" x14ac:dyDescent="0.25">
      <c r="A16" s="41" t="str">
        <f>RELEVER!A15</f>
        <v>ME14</v>
      </c>
      <c r="B16" s="43" t="s">
        <v>84</v>
      </c>
      <c r="C16" s="46">
        <v>1</v>
      </c>
      <c r="D16" s="8">
        <v>1270</v>
      </c>
      <c r="E16" s="64">
        <v>2410</v>
      </c>
      <c r="F16" s="56">
        <f>IFERROR(D16-RELEVER!O15*2-CHOOSE(MATCH(B16,{"Galandage";"Oscilot-battant";"Fixe";"Coulissant"},0),70,60,60,2+(C16-1)*25),"")</f>
        <v>1184</v>
      </c>
      <c r="G16" s="69">
        <v>2</v>
      </c>
      <c r="H16" s="56">
        <f>IFERROR(E16-RELEVER!O15-CHOOSE(MATCH(B16,{"Galandage";"Oscilot-battant";"Fixe";"Coulissant"},0),30,30,60,30),"")</f>
        <v>2372</v>
      </c>
      <c r="I16" s="58">
        <v>2</v>
      </c>
      <c r="J16" s="55">
        <f t="shared" si="7"/>
        <v>2372</v>
      </c>
      <c r="K16" s="55">
        <f t="shared" si="1"/>
        <v>1184</v>
      </c>
      <c r="L16" s="54">
        <f t="shared" si="0"/>
        <v>2410</v>
      </c>
      <c r="M16" s="89">
        <v>2</v>
      </c>
      <c r="N16" s="99">
        <f t="shared" si="2"/>
        <v>27.706666666666667</v>
      </c>
      <c r="O16" s="90">
        <f>IFERROR(D16-RELEVER!O15*2-CHOOSE(MATCH(B16,{"Galandage";"Oscilot-battant";"Fixe";"Coulissant"},0),27,60,60,2+(C16-1)*25),"")</f>
        <v>1227</v>
      </c>
      <c r="P16" s="72">
        <v>2</v>
      </c>
      <c r="Q16" s="75">
        <f>IFERROR(E16-RELEVER!O15-CHOOSE(MATCH(B16,{"Galandage";"Oscilot-battant";"Fixe";"Coulissant"},0),30,101,60,35),"")</f>
        <v>2372</v>
      </c>
      <c r="R16" s="60">
        <v>2</v>
      </c>
      <c r="S16" s="78">
        <f t="shared" si="3"/>
        <v>2372</v>
      </c>
      <c r="T16" s="56">
        <f t="shared" si="8"/>
        <v>1227</v>
      </c>
      <c r="U16" s="93">
        <f t="shared" si="4"/>
        <v>2372</v>
      </c>
      <c r="V16" s="99">
        <f t="shared" si="5"/>
        <v>27.993333333333332</v>
      </c>
      <c r="W16" s="96">
        <f t="shared" si="6"/>
        <v>55.7</v>
      </c>
    </row>
    <row r="17" spans="1:23" x14ac:dyDescent="0.25">
      <c r="A17" s="40" t="str">
        <f>RELEVER!A16</f>
        <v>ME15</v>
      </c>
      <c r="B17" s="42" t="s">
        <v>59</v>
      </c>
      <c r="C17" s="45">
        <v>1</v>
      </c>
      <c r="D17" s="36">
        <v>1020</v>
      </c>
      <c r="E17" s="65">
        <v>2110</v>
      </c>
      <c r="F17" s="52">
        <f>IFERROR(D17-RELEVER!O16*2-CHOOSE(MATCH(B17,{"Galandage";"Oscilot-battant";"Fixe";"Coulissant"},0),70,60,60,2+(C17-1)*25),"")</f>
        <v>944</v>
      </c>
      <c r="G17" s="70">
        <v>2</v>
      </c>
      <c r="H17" s="52">
        <f>IFERROR(E17-RELEVER!O16-CHOOSE(MATCH(B17,{"Galandage";"Oscilot-battant";"Fixe";"Coulissant"},0),30,30,60,30),"")</f>
        <v>2042</v>
      </c>
      <c r="I17" s="57">
        <v>2</v>
      </c>
      <c r="J17" s="51">
        <f t="shared" si="7"/>
        <v>2042</v>
      </c>
      <c r="K17" s="51">
        <f t="shared" si="1"/>
        <v>944</v>
      </c>
      <c r="L17" s="52">
        <f t="shared" si="0"/>
        <v>2110</v>
      </c>
      <c r="M17" s="73">
        <v>2</v>
      </c>
      <c r="N17" s="82">
        <f t="shared" si="2"/>
        <v>23.906666666666666</v>
      </c>
      <c r="O17" s="91">
        <f>IFERROR(D17-RELEVER!O16*2-CHOOSE(MATCH(B17,{"Galandage";"Oscilot-battant";"Fixe";"Coulissant"},0),27,60,60,2+(C17-1)*25),"")</f>
        <v>944</v>
      </c>
      <c r="P17" s="73">
        <v>2</v>
      </c>
      <c r="Q17" s="76">
        <f>IFERROR(E17-RELEVER!O16-CHOOSE(MATCH(B17,{"Galandage";"Oscilot-battant";"Fixe";"Coulissant"},0),30,101,60,35),"")</f>
        <v>2042</v>
      </c>
      <c r="R17" s="59">
        <v>2</v>
      </c>
      <c r="S17" s="79">
        <f t="shared" si="3"/>
        <v>2042</v>
      </c>
      <c r="T17" s="52">
        <f t="shared" si="8"/>
        <v>944</v>
      </c>
      <c r="U17" s="94">
        <f t="shared" si="4"/>
        <v>2042</v>
      </c>
      <c r="V17" s="82">
        <f t="shared" si="5"/>
        <v>23.906666666666666</v>
      </c>
      <c r="W17" s="97">
        <f t="shared" si="6"/>
        <v>47.813333333333333</v>
      </c>
    </row>
    <row r="18" spans="1:23" x14ac:dyDescent="0.25">
      <c r="A18" s="41" t="str">
        <f>RELEVER!A17</f>
        <v>ME16</v>
      </c>
      <c r="B18" s="43" t="s">
        <v>59</v>
      </c>
      <c r="C18" s="46">
        <v>1</v>
      </c>
      <c r="D18" s="8">
        <v>1020</v>
      </c>
      <c r="E18" s="64">
        <v>2165</v>
      </c>
      <c r="F18" s="56">
        <f>IFERROR(D18-RELEVER!O17*2-CHOOSE(MATCH(B18,{"Galandage";"Oscilot-battant";"Fixe";"Coulissant"},0),70,60,60,2+(C18-1)*25),"")</f>
        <v>944</v>
      </c>
      <c r="G18" s="69">
        <v>2</v>
      </c>
      <c r="H18" s="56">
        <f>IFERROR(E18-RELEVER!O17-CHOOSE(MATCH(B18,{"Galandage";"Oscilot-battant";"Fixe";"Coulissant"},0),30,30,60,30),"")</f>
        <v>2097</v>
      </c>
      <c r="I18" s="58">
        <v>2</v>
      </c>
      <c r="J18" s="55">
        <f t="shared" si="7"/>
        <v>2097</v>
      </c>
      <c r="K18" s="55">
        <f t="shared" si="1"/>
        <v>944</v>
      </c>
      <c r="L18" s="54">
        <f t="shared" si="0"/>
        <v>2165</v>
      </c>
      <c r="M18" s="89">
        <v>2</v>
      </c>
      <c r="N18" s="99">
        <f t="shared" si="2"/>
        <v>24.273333333333333</v>
      </c>
      <c r="O18" s="90">
        <f>IFERROR(D18-RELEVER!O17*2-CHOOSE(MATCH(B18,{"Galandage";"Oscilot-battant";"Fixe";"Coulissant"},0),27,60,60,2+(C18-1)*25),"")</f>
        <v>944</v>
      </c>
      <c r="P18" s="72">
        <v>2</v>
      </c>
      <c r="Q18" s="75">
        <f>IFERROR(E18-RELEVER!O17-CHOOSE(MATCH(B18,{"Galandage";"Oscilot-battant";"Fixe";"Coulissant"},0),30,101,60,35),"")</f>
        <v>2097</v>
      </c>
      <c r="R18" s="60">
        <v>2</v>
      </c>
      <c r="S18" s="78">
        <f t="shared" si="3"/>
        <v>2097</v>
      </c>
      <c r="T18" s="56">
        <f t="shared" si="8"/>
        <v>944</v>
      </c>
      <c r="U18" s="93">
        <f t="shared" si="4"/>
        <v>2097</v>
      </c>
      <c r="V18" s="99">
        <f t="shared" si="5"/>
        <v>24.273333333333333</v>
      </c>
      <c r="W18" s="96">
        <f t="shared" si="6"/>
        <v>48.546666666666667</v>
      </c>
    </row>
    <row r="19" spans="1:23" x14ac:dyDescent="0.25">
      <c r="A19" s="40" t="str">
        <f>RELEVER!A18</f>
        <v>ME17</v>
      </c>
      <c r="B19" s="42" t="s">
        <v>87</v>
      </c>
      <c r="C19" s="45">
        <v>4</v>
      </c>
      <c r="D19" s="37">
        <v>8435</v>
      </c>
      <c r="E19" s="67">
        <v>2985</v>
      </c>
      <c r="F19" s="52">
        <f>IFERROR(D19-RELEVER!O18*2-CHOOSE(MATCH(B19,{"Galandage";"Oscilot-battant";"Fixe";"Coulissant"},0),70,60,60,2+(C19-1)*25),"")</f>
        <v>8342</v>
      </c>
      <c r="G19" s="70">
        <v>2</v>
      </c>
      <c r="H19" s="52">
        <f>IFERROR(E19-RELEVER!O18-CHOOSE(MATCH(B19,{"Galandage";"Oscilot-battant";"Fixe";"Coulissant"},0),30,30,60,30),"")</f>
        <v>2947</v>
      </c>
      <c r="I19" s="57">
        <v>2</v>
      </c>
      <c r="J19" s="51">
        <f t="shared" si="7"/>
        <v>2947</v>
      </c>
      <c r="K19" s="51">
        <f t="shared" si="1"/>
        <v>8342</v>
      </c>
      <c r="L19" s="52">
        <f t="shared" si="0"/>
        <v>2985</v>
      </c>
      <c r="M19" s="73">
        <v>2</v>
      </c>
      <c r="N19" s="82">
        <f t="shared" si="2"/>
        <v>79.260000000000005</v>
      </c>
      <c r="O19" s="91">
        <f>IFERROR(D19-RELEVER!O18*2-CHOOSE(MATCH(B19,{"Galandage";"Oscilot-battant";"Fixe";"Coulissant"},0),27,60,60,2+(C19-1)*25),"")</f>
        <v>8342</v>
      </c>
      <c r="P19" s="73">
        <v>2</v>
      </c>
      <c r="Q19" s="76">
        <f>IFERROR(E19-RELEVER!O18-CHOOSE(MATCH(B19,{"Galandage";"Oscilot-battant";"Fixe";"Coulissant"},0),30,101,60,35),"")</f>
        <v>2942</v>
      </c>
      <c r="R19" s="59">
        <v>2</v>
      </c>
      <c r="S19" s="79">
        <f t="shared" si="3"/>
        <v>2942</v>
      </c>
      <c r="T19" s="52">
        <f t="shared" si="8"/>
        <v>8342</v>
      </c>
      <c r="U19" s="94">
        <f t="shared" si="4"/>
        <v>2942</v>
      </c>
      <c r="V19" s="82">
        <f t="shared" si="5"/>
        <v>79.226666666666674</v>
      </c>
      <c r="W19" s="97">
        <f t="shared" si="6"/>
        <v>158.48666666666668</v>
      </c>
    </row>
    <row r="20" spans="1:23" x14ac:dyDescent="0.25">
      <c r="A20" s="41" t="str">
        <f>RELEVER!A19</f>
        <v>ME18</v>
      </c>
      <c r="B20" s="84" t="s">
        <v>84</v>
      </c>
      <c r="C20" s="46">
        <v>1</v>
      </c>
      <c r="D20" s="8">
        <v>1820</v>
      </c>
      <c r="E20" s="66">
        <v>2410</v>
      </c>
      <c r="F20" s="56">
        <f>IFERROR(D20-RELEVER!O19*2-CHOOSE(MATCH(B20,{"Galandage";"Oscilot-battant";"Fixe";"Coulissant"},0),70,60,60,2+(C20-1)*25),"")</f>
        <v>1734</v>
      </c>
      <c r="G20" s="69">
        <v>2</v>
      </c>
      <c r="H20" s="56">
        <f>IFERROR(E20-RELEVER!O19-CHOOSE(MATCH(B20,{"Galandage";"Oscilot-battant";"Fixe";"Coulissant"},0),30,30,60,30),"")</f>
        <v>2372</v>
      </c>
      <c r="I20" s="58">
        <v>2</v>
      </c>
      <c r="J20" s="55">
        <f t="shared" si="7"/>
        <v>2372</v>
      </c>
      <c r="K20" s="55">
        <f t="shared" si="1"/>
        <v>1734</v>
      </c>
      <c r="L20" s="54">
        <f t="shared" si="0"/>
        <v>2410</v>
      </c>
      <c r="M20" s="89">
        <v>2</v>
      </c>
      <c r="N20" s="99">
        <f t="shared" si="2"/>
        <v>31.373333333333335</v>
      </c>
      <c r="O20" s="90">
        <f>IFERROR(D20-RELEVER!O19*2-CHOOSE(MATCH(B20,{"Galandage";"Oscilot-battant";"Fixe";"Coulissant"},0),27,60,60,2+(C20-1)*25),"")</f>
        <v>1777</v>
      </c>
      <c r="P20" s="72">
        <v>2</v>
      </c>
      <c r="Q20" s="75">
        <f>IFERROR(E20-RELEVER!O19-CHOOSE(MATCH(B20,{"Galandage";"Oscilot-battant";"Fixe";"Coulissant"},0),30,101,60,35),"")</f>
        <v>2372</v>
      </c>
      <c r="R20" s="60">
        <v>2</v>
      </c>
      <c r="S20" s="78">
        <f t="shared" si="3"/>
        <v>2372</v>
      </c>
      <c r="T20" s="56">
        <f t="shared" si="8"/>
        <v>1777</v>
      </c>
      <c r="U20" s="93">
        <f t="shared" si="4"/>
        <v>2372</v>
      </c>
      <c r="V20" s="99">
        <f t="shared" si="5"/>
        <v>31.66</v>
      </c>
      <c r="W20" s="96">
        <f t="shared" si="6"/>
        <v>63.033333333333331</v>
      </c>
    </row>
    <row r="21" spans="1:23" x14ac:dyDescent="0.25">
      <c r="A21" s="40" t="str">
        <f>RELEVER!A20</f>
        <v>ME19</v>
      </c>
      <c r="B21" s="42" t="s">
        <v>84</v>
      </c>
      <c r="C21" s="45">
        <v>1</v>
      </c>
      <c r="D21" s="36">
        <v>915</v>
      </c>
      <c r="E21" s="65">
        <v>1510</v>
      </c>
      <c r="F21" s="52">
        <f>IFERROR(D21-RELEVER!O20*2-CHOOSE(MATCH(B21,{"Galandage";"Oscilot-battant";"Fixe";"Coulissant"},0),70,60,60,2+(C21-1)*25),"")</f>
        <v>829</v>
      </c>
      <c r="G21" s="70">
        <v>2</v>
      </c>
      <c r="H21" s="52">
        <f>IFERROR(E21-RELEVER!O20-CHOOSE(MATCH(B21,{"Galandage";"Oscilot-battant";"Fixe";"Coulissant"},0),30,30,60,30),"")</f>
        <v>1472</v>
      </c>
      <c r="I21" s="57">
        <v>2</v>
      </c>
      <c r="J21" s="51">
        <f t="shared" si="7"/>
        <v>1472</v>
      </c>
      <c r="K21" s="51">
        <f t="shared" si="1"/>
        <v>829</v>
      </c>
      <c r="L21" s="52">
        <f t="shared" si="0"/>
        <v>1510</v>
      </c>
      <c r="M21" s="73">
        <v>2</v>
      </c>
      <c r="N21" s="82">
        <f t="shared" si="2"/>
        <v>19.34</v>
      </c>
      <c r="O21" s="91">
        <f>IFERROR(D21-RELEVER!O20*2-CHOOSE(MATCH(B21,{"Galandage";"Oscilot-battant";"Fixe";"Coulissant"},0),27,60,60,2+(C21-1)*25),"")</f>
        <v>872</v>
      </c>
      <c r="P21" s="73">
        <v>2</v>
      </c>
      <c r="Q21" s="76">
        <f>IFERROR(E21-RELEVER!O20-CHOOSE(MATCH(B21,{"Galandage";"Oscilot-battant";"Fixe";"Coulissant"},0),30,101,60,35),"")</f>
        <v>1472</v>
      </c>
      <c r="R21" s="59">
        <v>2</v>
      </c>
      <c r="S21" s="79">
        <f t="shared" si="3"/>
        <v>1472</v>
      </c>
      <c r="T21" s="52">
        <f t="shared" si="8"/>
        <v>872</v>
      </c>
      <c r="U21" s="94">
        <f t="shared" si="4"/>
        <v>1472</v>
      </c>
      <c r="V21" s="82">
        <f t="shared" si="5"/>
        <v>19.626666666666665</v>
      </c>
      <c r="W21" s="97">
        <f t="shared" si="6"/>
        <v>38.966666666666669</v>
      </c>
    </row>
    <row r="22" spans="1:23" x14ac:dyDescent="0.25">
      <c r="A22" s="41" t="str">
        <f>RELEVER!A21</f>
        <v>ME20</v>
      </c>
      <c r="B22" s="43" t="s">
        <v>84</v>
      </c>
      <c r="C22" s="46">
        <v>1</v>
      </c>
      <c r="D22" s="8">
        <v>1520</v>
      </c>
      <c r="E22" s="64">
        <v>2415</v>
      </c>
      <c r="F22" s="56">
        <f>IFERROR(D22-RELEVER!O21*2-CHOOSE(MATCH(B22,{"Galandage";"Oscilot-battant";"Fixe";"Coulissant"},0),70,60,60,2+(C22-1)*25),"")</f>
        <v>1434</v>
      </c>
      <c r="G22" s="69">
        <v>2</v>
      </c>
      <c r="H22" s="56">
        <f>IFERROR(E22-RELEVER!O21-CHOOSE(MATCH(B22,{"Galandage";"Oscilot-battant";"Fixe";"Coulissant"},0),30,30,60,30),"")</f>
        <v>2377</v>
      </c>
      <c r="I22" s="58">
        <v>2</v>
      </c>
      <c r="J22" s="55">
        <f t="shared" si="7"/>
        <v>2377</v>
      </c>
      <c r="K22" s="55">
        <f t="shared" si="1"/>
        <v>1434</v>
      </c>
      <c r="L22" s="54">
        <f t="shared" si="0"/>
        <v>2415</v>
      </c>
      <c r="M22" s="89">
        <v>2</v>
      </c>
      <c r="N22" s="99">
        <f t="shared" si="2"/>
        <v>29.406666666666666</v>
      </c>
      <c r="O22" s="90">
        <f>IFERROR(D22-RELEVER!O21*2-CHOOSE(MATCH(B22,{"Galandage";"Oscilot-battant";"Fixe";"Coulissant"},0),27,60,60,2+(C22-1)*25),"")</f>
        <v>1477</v>
      </c>
      <c r="P22" s="72">
        <v>2</v>
      </c>
      <c r="Q22" s="75">
        <f>IFERROR(E22-RELEVER!O21-CHOOSE(MATCH(B22,{"Galandage";"Oscilot-battant";"Fixe";"Coulissant"},0),30,101,60,35),"")</f>
        <v>2377</v>
      </c>
      <c r="R22" s="60">
        <v>2</v>
      </c>
      <c r="S22" s="78">
        <f t="shared" si="3"/>
        <v>2377</v>
      </c>
      <c r="T22" s="56">
        <f t="shared" si="8"/>
        <v>1477</v>
      </c>
      <c r="U22" s="93">
        <f t="shared" si="4"/>
        <v>2377</v>
      </c>
      <c r="V22" s="99">
        <f t="shared" si="5"/>
        <v>29.693333333333332</v>
      </c>
      <c r="W22" s="96">
        <f t="shared" si="6"/>
        <v>59.099999999999994</v>
      </c>
    </row>
    <row r="23" spans="1:23" x14ac:dyDescent="0.25">
      <c r="A23" s="40" t="str">
        <f>RELEVER!A22</f>
        <v>ME21</v>
      </c>
      <c r="B23" s="48" t="s">
        <v>84</v>
      </c>
      <c r="C23" s="45">
        <v>1</v>
      </c>
      <c r="D23" s="36">
        <v>1620</v>
      </c>
      <c r="E23" s="65">
        <v>2530</v>
      </c>
      <c r="F23" s="52">
        <f>IFERROR(D23-RELEVER!O22*2-CHOOSE(MATCH(B23,{"Galandage";"Oscilot-battant";"Fixe";"Coulissant"},0),70,60,60,2+(C23-1)*25),"")</f>
        <v>1450</v>
      </c>
      <c r="G23" s="70">
        <v>2</v>
      </c>
      <c r="H23" s="52">
        <f>IFERROR(E23-RELEVER!O22-CHOOSE(MATCH(B23,{"Galandage";"Oscilot-battant";"Fixe";"Coulissant"},0),30,30,60,30),"")</f>
        <v>2450</v>
      </c>
      <c r="I23" s="57">
        <v>2</v>
      </c>
      <c r="J23" s="51">
        <f t="shared" si="7"/>
        <v>2450</v>
      </c>
      <c r="K23" s="51">
        <f t="shared" si="1"/>
        <v>1450</v>
      </c>
      <c r="L23" s="52">
        <f t="shared" si="0"/>
        <v>2530</v>
      </c>
      <c r="M23" s="73">
        <v>2</v>
      </c>
      <c r="N23" s="82">
        <f t="shared" si="2"/>
        <v>30</v>
      </c>
      <c r="O23" s="91">
        <f>IFERROR(D23-RELEVER!O22*2-CHOOSE(MATCH(B23,{"Galandage";"Oscilot-battant";"Fixe";"Coulissant"},0),27,60,60,2+(C23-1)*25),"")</f>
        <v>1493</v>
      </c>
      <c r="P23" s="73">
        <v>2</v>
      </c>
      <c r="Q23" s="76">
        <f>IFERROR(E23-RELEVER!O22-CHOOSE(MATCH(B23,{"Galandage";"Oscilot-battant";"Fixe";"Coulissant"},0),30,101,60,35),"")</f>
        <v>2450</v>
      </c>
      <c r="R23" s="59">
        <v>2</v>
      </c>
      <c r="S23" s="79">
        <f t="shared" si="3"/>
        <v>2450</v>
      </c>
      <c r="T23" s="52">
        <f t="shared" si="8"/>
        <v>1493</v>
      </c>
      <c r="U23" s="94">
        <f t="shared" si="4"/>
        <v>2450</v>
      </c>
      <c r="V23" s="82">
        <f t="shared" si="5"/>
        <v>30.286666666666665</v>
      </c>
      <c r="W23" s="97">
        <f t="shared" si="6"/>
        <v>60.286666666666662</v>
      </c>
    </row>
    <row r="24" spans="1:23" x14ac:dyDescent="0.25">
      <c r="A24" s="41" t="str">
        <f>RELEVER!A23</f>
        <v>ME22</v>
      </c>
      <c r="B24" s="43" t="s">
        <v>40</v>
      </c>
      <c r="C24" s="46">
        <v>1</v>
      </c>
      <c r="D24" s="8">
        <v>820</v>
      </c>
      <c r="E24" s="64">
        <v>1510</v>
      </c>
      <c r="F24" s="56">
        <f>IFERROR(D24-RELEVER!O23*2-CHOOSE(MATCH(B24,{"Galandage";"Oscilot-battant";"Fixe";"Coulissant"},0),70,60,60,2+(C24-1)*25),"")</f>
        <v>744</v>
      </c>
      <c r="G24" s="69">
        <v>2</v>
      </c>
      <c r="H24" s="56">
        <f>IFERROR(E24-RELEVER!O23-CHOOSE(MATCH(B24,{"Galandage";"Oscilot-battant";"Fixe";"Coulissant"},0),30,30,60,30),"")</f>
        <v>1472</v>
      </c>
      <c r="I24" s="58">
        <v>2</v>
      </c>
      <c r="J24" s="55">
        <f t="shared" si="7"/>
        <v>1472</v>
      </c>
      <c r="K24" s="55">
        <f t="shared" si="1"/>
        <v>744</v>
      </c>
      <c r="L24" s="54">
        <f t="shared" si="0"/>
        <v>1510</v>
      </c>
      <c r="M24" s="89">
        <v>2</v>
      </c>
      <c r="N24" s="99">
        <f t="shared" si="2"/>
        <v>18.773333333333333</v>
      </c>
      <c r="O24" s="90">
        <f>IFERROR(D24-RELEVER!O23*2-CHOOSE(MATCH(B24,{"Galandage";"Oscilot-battant";"Fixe";"Coulissant"},0),27,60,60,2+(C24-1)*25),"")</f>
        <v>744</v>
      </c>
      <c r="P24" s="72">
        <v>2</v>
      </c>
      <c r="Q24" s="75">
        <f>IFERROR(E24-RELEVER!O23-CHOOSE(MATCH(B24,{"Galandage";"Oscilot-battant";"Fixe";"Coulissant"},0),30,101,60,35),"")</f>
        <v>1401</v>
      </c>
      <c r="R24" s="60">
        <v>2</v>
      </c>
      <c r="S24" s="78">
        <f t="shared" si="3"/>
        <v>1401</v>
      </c>
      <c r="T24" s="56">
        <f t="shared" si="8"/>
        <v>744</v>
      </c>
      <c r="U24" s="93">
        <f t="shared" si="4"/>
        <v>1401</v>
      </c>
      <c r="V24" s="99">
        <f t="shared" si="5"/>
        <v>18.3</v>
      </c>
      <c r="W24" s="96">
        <f t="shared" si="6"/>
        <v>37.073333333333338</v>
      </c>
    </row>
    <row r="25" spans="1:23" x14ac:dyDescent="0.25">
      <c r="A25" s="40" t="str">
        <f>RELEVER!A24</f>
        <v>ME23</v>
      </c>
      <c r="B25" s="42" t="s">
        <v>59</v>
      </c>
      <c r="C25" s="45">
        <v>1</v>
      </c>
      <c r="D25" s="36">
        <v>920</v>
      </c>
      <c r="E25" s="65">
        <v>1510</v>
      </c>
      <c r="F25" s="52">
        <f>IFERROR(D25-RELEVER!O24*2-CHOOSE(MATCH(B25,{"Galandage";"Oscilot-battant";"Fixe";"Coulissant"},0),70,60,60,2+(C25-1)*25),"")</f>
        <v>844</v>
      </c>
      <c r="G25" s="70">
        <v>2</v>
      </c>
      <c r="H25" s="52">
        <f>IFERROR(E25-RELEVER!O24-CHOOSE(MATCH(B25,{"Galandage";"Oscilot-battant";"Fixe";"Coulissant"},0),30,30,60,30),"")</f>
        <v>1442</v>
      </c>
      <c r="I25" s="57">
        <v>2</v>
      </c>
      <c r="J25" s="51">
        <f t="shared" si="7"/>
        <v>1442</v>
      </c>
      <c r="K25" s="51">
        <f t="shared" si="1"/>
        <v>844</v>
      </c>
      <c r="L25" s="52">
        <f t="shared" si="0"/>
        <v>1510</v>
      </c>
      <c r="M25" s="73">
        <v>2</v>
      </c>
      <c r="N25" s="82">
        <f t="shared" si="2"/>
        <v>19.240000000000002</v>
      </c>
      <c r="O25" s="91">
        <f>IFERROR(D25-RELEVER!O24*2-CHOOSE(MATCH(B25,{"Galandage";"Oscilot-battant";"Fixe";"Coulissant"},0),27,60,60,2+(C25-1)*25),"")</f>
        <v>844</v>
      </c>
      <c r="P25" s="73">
        <v>2</v>
      </c>
      <c r="Q25" s="76">
        <f>IFERROR(E25-RELEVER!O24-CHOOSE(MATCH(B25,{"Galandage";"Oscilot-battant";"Fixe";"Coulissant"},0),30,101,60,35),"")</f>
        <v>1442</v>
      </c>
      <c r="R25" s="59">
        <v>2</v>
      </c>
      <c r="S25" s="79">
        <f t="shared" si="3"/>
        <v>1442</v>
      </c>
      <c r="T25" s="52">
        <f t="shared" si="8"/>
        <v>844</v>
      </c>
      <c r="U25" s="94">
        <f t="shared" si="4"/>
        <v>1442</v>
      </c>
      <c r="V25" s="82">
        <f t="shared" si="5"/>
        <v>19.240000000000002</v>
      </c>
      <c r="W25" s="97">
        <f t="shared" si="6"/>
        <v>38.480000000000004</v>
      </c>
    </row>
    <row r="26" spans="1:23" x14ac:dyDescent="0.25">
      <c r="A26" s="41" t="str">
        <f>RELEVER!A25</f>
        <v>ME24</v>
      </c>
      <c r="B26" s="43" t="s">
        <v>59</v>
      </c>
      <c r="C26" s="46">
        <v>1</v>
      </c>
      <c r="D26" s="8">
        <v>2460</v>
      </c>
      <c r="E26" s="64">
        <v>2590</v>
      </c>
      <c r="F26" s="56">
        <f>IFERROR(D26-RELEVER!O25*2-CHOOSE(MATCH(B26,{"Galandage";"Oscilot-battant";"Fixe";"Coulissant"},0),70,60,60,2+(C26-1)*25),"")</f>
        <v>2384</v>
      </c>
      <c r="G26" s="69">
        <v>2</v>
      </c>
      <c r="H26" s="56">
        <f>IFERROR(E26-RELEVER!O25-CHOOSE(MATCH(B26,{"Galandage";"Oscilot-battant";"Fixe";"Coulissant"},0),30,30,60,30),"")</f>
        <v>2522</v>
      </c>
      <c r="I26" s="58">
        <v>2</v>
      </c>
      <c r="J26" s="55">
        <f t="shared" si="7"/>
        <v>2522</v>
      </c>
      <c r="K26" s="55">
        <f t="shared" si="1"/>
        <v>2384</v>
      </c>
      <c r="L26" s="54">
        <f t="shared" si="0"/>
        <v>2590</v>
      </c>
      <c r="M26" s="89">
        <v>2</v>
      </c>
      <c r="N26" s="99">
        <f t="shared" si="2"/>
        <v>36.706666666666663</v>
      </c>
      <c r="O26" s="90">
        <f>IFERROR(D26-RELEVER!O25*2-CHOOSE(MATCH(B26,{"Galandage";"Oscilot-battant";"Fixe";"Coulissant"},0),27,60,60,2+(C26-1)*25),"")</f>
        <v>2384</v>
      </c>
      <c r="P26" s="72">
        <v>2</v>
      </c>
      <c r="Q26" s="75">
        <f>IFERROR(E26-RELEVER!O25-CHOOSE(MATCH(B26,{"Galandage";"Oscilot-battant";"Fixe";"Coulissant"},0),30,101,60,35),"")</f>
        <v>2522</v>
      </c>
      <c r="R26" s="60">
        <v>2</v>
      </c>
      <c r="S26" s="78">
        <f t="shared" si="3"/>
        <v>2522</v>
      </c>
      <c r="T26" s="56">
        <f t="shared" si="8"/>
        <v>2384</v>
      </c>
      <c r="U26" s="93">
        <f t="shared" si="4"/>
        <v>2522</v>
      </c>
      <c r="V26" s="99">
        <f t="shared" si="5"/>
        <v>36.706666666666663</v>
      </c>
      <c r="W26" s="96">
        <f t="shared" si="6"/>
        <v>73.413333333333327</v>
      </c>
    </row>
    <row r="27" spans="1:23" x14ac:dyDescent="0.25">
      <c r="A27" s="40" t="str">
        <f>RELEVER!A26</f>
        <v>ME25</v>
      </c>
      <c r="B27" s="42" t="s">
        <v>59</v>
      </c>
      <c r="C27" s="45">
        <v>1</v>
      </c>
      <c r="D27" s="36">
        <v>2420</v>
      </c>
      <c r="E27" s="65">
        <v>2590</v>
      </c>
      <c r="F27" s="52">
        <f>IFERROR(D27-RELEVER!O26*2-CHOOSE(MATCH(B27,{"Galandage";"Oscilot-battant";"Fixe";"Coulissant"},0),70,60,60,2+(C27-1)*25),"")</f>
        <v>2344</v>
      </c>
      <c r="G27" s="70">
        <v>2</v>
      </c>
      <c r="H27" s="52">
        <f>IFERROR(E27-RELEVER!O26-CHOOSE(MATCH(B27,{"Galandage";"Oscilot-battant";"Fixe";"Coulissant"},0),30,30,60,30),"")</f>
        <v>2522</v>
      </c>
      <c r="I27" s="57">
        <v>2</v>
      </c>
      <c r="J27" s="51">
        <f t="shared" si="7"/>
        <v>2522</v>
      </c>
      <c r="K27" s="51">
        <f t="shared" si="1"/>
        <v>2344</v>
      </c>
      <c r="L27" s="52">
        <f t="shared" si="0"/>
        <v>2590</v>
      </c>
      <c r="M27" s="73">
        <v>2</v>
      </c>
      <c r="N27" s="82">
        <f t="shared" si="2"/>
        <v>36.44</v>
      </c>
      <c r="O27" s="91">
        <f>IFERROR(D27-RELEVER!O26*2-CHOOSE(MATCH(B27,{"Galandage";"Oscilot-battant";"Fixe";"Coulissant"},0),27,60,60,2+(C27-1)*25),"")</f>
        <v>2344</v>
      </c>
      <c r="P27" s="73">
        <v>2</v>
      </c>
      <c r="Q27" s="76">
        <f>IFERROR(E27-RELEVER!O26-CHOOSE(MATCH(B27,{"Galandage";"Oscilot-battant";"Fixe";"Coulissant"},0),30,101,60,35),"")</f>
        <v>2522</v>
      </c>
      <c r="R27" s="59">
        <v>2</v>
      </c>
      <c r="S27" s="79">
        <f t="shared" si="3"/>
        <v>2522</v>
      </c>
      <c r="T27" s="52">
        <f t="shared" si="8"/>
        <v>2344</v>
      </c>
      <c r="U27" s="94">
        <f t="shared" si="4"/>
        <v>2522</v>
      </c>
      <c r="V27" s="82">
        <f t="shared" si="5"/>
        <v>36.44</v>
      </c>
      <c r="W27" s="97">
        <f t="shared" si="6"/>
        <v>72.88</v>
      </c>
    </row>
    <row r="28" spans="1:23" x14ac:dyDescent="0.25">
      <c r="A28" s="41" t="str">
        <f>RELEVER!A27</f>
        <v>ME26</v>
      </c>
      <c r="B28" s="43" t="s">
        <v>59</v>
      </c>
      <c r="C28" s="46">
        <v>1</v>
      </c>
      <c r="D28" s="8">
        <v>2420</v>
      </c>
      <c r="E28" s="64">
        <v>2590</v>
      </c>
      <c r="F28" s="56">
        <f>IFERROR(D28-RELEVER!O27*2-CHOOSE(MATCH(B28,{"Galandage";"Oscilot-battant";"Fixe";"Coulissant"},0),70,60,60,2+(C28-1)*25),"")</f>
        <v>2344</v>
      </c>
      <c r="G28" s="69">
        <v>2</v>
      </c>
      <c r="H28" s="56">
        <f>IFERROR(E28-RELEVER!O27-CHOOSE(MATCH(B28,{"Galandage";"Oscilot-battant";"Fixe";"Coulissant"},0),30,30,60,30),"")</f>
        <v>2522</v>
      </c>
      <c r="I28" s="58">
        <v>2</v>
      </c>
      <c r="J28" s="55">
        <f t="shared" si="7"/>
        <v>2522</v>
      </c>
      <c r="K28" s="55">
        <f t="shared" si="1"/>
        <v>2344</v>
      </c>
      <c r="L28" s="54">
        <f t="shared" si="0"/>
        <v>2590</v>
      </c>
      <c r="M28" s="89">
        <v>2</v>
      </c>
      <c r="N28" s="99">
        <f t="shared" si="2"/>
        <v>36.44</v>
      </c>
      <c r="O28" s="90">
        <f>IFERROR(D28-RELEVER!O27*2-CHOOSE(MATCH(B28,{"Galandage";"Oscilot-battant";"Fixe";"Coulissant"},0),27,60,60,2+(C28-1)*25),"")</f>
        <v>2344</v>
      </c>
      <c r="P28" s="72">
        <v>2</v>
      </c>
      <c r="Q28" s="75">
        <f>IFERROR(E28-RELEVER!O27-CHOOSE(MATCH(B28,{"Galandage";"Oscilot-battant";"Fixe";"Coulissant"},0),30,101,60,35),"")</f>
        <v>2522</v>
      </c>
      <c r="R28" s="60">
        <v>2</v>
      </c>
      <c r="S28" s="78">
        <f t="shared" si="3"/>
        <v>2522</v>
      </c>
      <c r="T28" s="56">
        <f t="shared" si="8"/>
        <v>2344</v>
      </c>
      <c r="U28" s="93">
        <f t="shared" si="4"/>
        <v>2522</v>
      </c>
      <c r="V28" s="99">
        <f t="shared" si="5"/>
        <v>36.44</v>
      </c>
      <c r="W28" s="96">
        <f t="shared" si="6"/>
        <v>72.88</v>
      </c>
    </row>
    <row r="29" spans="1:23" x14ac:dyDescent="0.25">
      <c r="A29" s="40" t="str">
        <f>RELEVER!A28</f>
        <v>ME27</v>
      </c>
      <c r="B29" s="42" t="s">
        <v>87</v>
      </c>
      <c r="C29" s="45">
        <v>4</v>
      </c>
      <c r="D29" s="36">
        <v>8895</v>
      </c>
      <c r="E29" s="65">
        <v>2595</v>
      </c>
      <c r="F29" s="52">
        <f>IFERROR(D29-RELEVER!O28*2-CHOOSE(MATCH(B29,{"Galandage";"Oscilot-battant";"Fixe";"Coulissant"},0),70,60,60,2+(C29-1)*25),"")</f>
        <v>8802</v>
      </c>
      <c r="G29" s="70">
        <v>2</v>
      </c>
      <c r="H29" s="52">
        <f>IFERROR(E29-RELEVER!O28-CHOOSE(MATCH(B29,{"Galandage";"Oscilot-battant";"Fixe";"Coulissant"},0),30,30,60,30),"")</f>
        <v>2557</v>
      </c>
      <c r="I29" s="57">
        <v>2</v>
      </c>
      <c r="J29" s="51">
        <f t="shared" si="7"/>
        <v>2557</v>
      </c>
      <c r="K29" s="51">
        <f t="shared" si="1"/>
        <v>8802</v>
      </c>
      <c r="L29" s="52">
        <f t="shared" si="0"/>
        <v>2595</v>
      </c>
      <c r="M29" s="73">
        <v>2</v>
      </c>
      <c r="N29" s="82">
        <f t="shared" si="2"/>
        <v>79.726666666666674</v>
      </c>
      <c r="O29" s="91">
        <f>IFERROR(D29-RELEVER!O28*2-CHOOSE(MATCH(B29,{"Galandage";"Oscilot-battant";"Fixe";"Coulissant"},0),27,60,60,2+(C29-1)*25),"")</f>
        <v>8802</v>
      </c>
      <c r="P29" s="73">
        <v>2</v>
      </c>
      <c r="Q29" s="76">
        <f>IFERROR(E29-RELEVER!O28-CHOOSE(MATCH(B29,{"Galandage";"Oscilot-battant";"Fixe";"Coulissant"},0),30,101,60,35),"")</f>
        <v>2552</v>
      </c>
      <c r="R29" s="59">
        <v>2</v>
      </c>
      <c r="S29" s="79">
        <f t="shared" si="3"/>
        <v>2552</v>
      </c>
      <c r="T29" s="52">
        <f t="shared" si="8"/>
        <v>8802</v>
      </c>
      <c r="U29" s="94">
        <f t="shared" si="4"/>
        <v>2552</v>
      </c>
      <c r="V29" s="82">
        <f t="shared" si="5"/>
        <v>79.693333333333328</v>
      </c>
      <c r="W29" s="97">
        <f t="shared" si="6"/>
        <v>159.42000000000002</v>
      </c>
    </row>
    <row r="30" spans="1:23" x14ac:dyDescent="0.25">
      <c r="A30" s="41" t="str">
        <f>RELEVER!A29</f>
        <v>ME28</v>
      </c>
      <c r="B30" s="43" t="s">
        <v>59</v>
      </c>
      <c r="C30" s="46">
        <v>1</v>
      </c>
      <c r="D30" s="8">
        <v>2445</v>
      </c>
      <c r="E30" s="64">
        <v>2595</v>
      </c>
      <c r="F30" s="56">
        <f>IFERROR(D30-RELEVER!O29*2-CHOOSE(MATCH(B30,{"Galandage";"Oscilot-battant";"Fixe";"Coulissant"},0),70,60,60,2+(C30-1)*25),"")</f>
        <v>2369</v>
      </c>
      <c r="G30" s="69">
        <v>2</v>
      </c>
      <c r="H30" s="56">
        <f>IFERROR(E30-RELEVER!O29-CHOOSE(MATCH(B30,{"Galandage";"Oscilot-battant";"Fixe";"Coulissant"},0),30,30,60,30),"")</f>
        <v>2527</v>
      </c>
      <c r="I30" s="58">
        <v>2</v>
      </c>
      <c r="J30" s="55">
        <f t="shared" si="7"/>
        <v>2527</v>
      </c>
      <c r="K30" s="55">
        <f t="shared" si="1"/>
        <v>2369</v>
      </c>
      <c r="L30" s="54">
        <f t="shared" si="0"/>
        <v>2595</v>
      </c>
      <c r="M30" s="89">
        <v>2</v>
      </c>
      <c r="N30" s="99">
        <f t="shared" si="2"/>
        <v>36.64</v>
      </c>
      <c r="O30" s="90">
        <f>IFERROR(D30-RELEVER!O29*2-CHOOSE(MATCH(B30,{"Galandage";"Oscilot-battant";"Fixe";"Coulissant"},0),27,60,60,2+(C30-1)*25),"")</f>
        <v>2369</v>
      </c>
      <c r="P30" s="72">
        <v>2</v>
      </c>
      <c r="Q30" s="75">
        <f>IFERROR(E30-RELEVER!O29-CHOOSE(MATCH(B30,{"Galandage";"Oscilot-battant";"Fixe";"Coulissant"},0),30,101,60,35),"")</f>
        <v>2527</v>
      </c>
      <c r="R30" s="60">
        <v>2</v>
      </c>
      <c r="S30" s="78">
        <f t="shared" si="3"/>
        <v>2527</v>
      </c>
      <c r="T30" s="56">
        <f t="shared" si="8"/>
        <v>2369</v>
      </c>
      <c r="U30" s="93">
        <f t="shared" si="4"/>
        <v>2527</v>
      </c>
      <c r="V30" s="99">
        <f t="shared" si="5"/>
        <v>36.64</v>
      </c>
      <c r="W30" s="96">
        <f t="shared" si="6"/>
        <v>73.28</v>
      </c>
    </row>
    <row r="31" spans="1:23" x14ac:dyDescent="0.25">
      <c r="A31" s="40" t="str">
        <f>RELEVER!A30</f>
        <v>ME29</v>
      </c>
      <c r="B31" s="42" t="s">
        <v>59</v>
      </c>
      <c r="C31" s="45">
        <v>1</v>
      </c>
      <c r="D31" s="36">
        <v>2430</v>
      </c>
      <c r="E31" s="65">
        <v>2595</v>
      </c>
      <c r="F31" s="52">
        <f>IFERROR(D31-RELEVER!O30*2-CHOOSE(MATCH(B31,{"Galandage";"Oscilot-battant";"Fixe";"Coulissant"},0),70,60,60,2+(C31-1)*25),"")</f>
        <v>2354</v>
      </c>
      <c r="G31" s="70">
        <v>2</v>
      </c>
      <c r="H31" s="52">
        <f>IFERROR(E31-RELEVER!O30-CHOOSE(MATCH(B31,{"Galandage";"Oscilot-battant";"Fixe";"Coulissant"},0),30,30,60,30),"")</f>
        <v>2527</v>
      </c>
      <c r="I31" s="57">
        <v>2</v>
      </c>
      <c r="J31" s="51">
        <f t="shared" si="7"/>
        <v>2527</v>
      </c>
      <c r="K31" s="51">
        <f t="shared" si="1"/>
        <v>2354</v>
      </c>
      <c r="L31" s="52">
        <f t="shared" si="0"/>
        <v>2595</v>
      </c>
      <c r="M31" s="73">
        <v>2</v>
      </c>
      <c r="N31" s="82">
        <f t="shared" si="2"/>
        <v>36.54</v>
      </c>
      <c r="O31" s="91">
        <f>IFERROR(D31-RELEVER!O30*2-CHOOSE(MATCH(B31,{"Galandage";"Oscilot-battant";"Fixe";"Coulissant"},0),27,60,60,2+(C31-1)*25),"")</f>
        <v>2354</v>
      </c>
      <c r="P31" s="73">
        <v>2</v>
      </c>
      <c r="Q31" s="76">
        <f>IFERROR(E31-RELEVER!O30-CHOOSE(MATCH(B31,{"Galandage";"Oscilot-battant";"Fixe";"Coulissant"},0),30,101,60,35),"")</f>
        <v>2527</v>
      </c>
      <c r="R31" s="59">
        <v>2</v>
      </c>
      <c r="S31" s="79">
        <f t="shared" si="3"/>
        <v>2527</v>
      </c>
      <c r="T31" s="52">
        <f t="shared" si="8"/>
        <v>2354</v>
      </c>
      <c r="U31" s="94">
        <f t="shared" si="4"/>
        <v>2527</v>
      </c>
      <c r="V31" s="82">
        <f t="shared" si="5"/>
        <v>36.54</v>
      </c>
      <c r="W31" s="97">
        <f t="shared" si="6"/>
        <v>73.08</v>
      </c>
    </row>
    <row r="32" spans="1:23" x14ac:dyDescent="0.25">
      <c r="A32" s="41" t="str">
        <f>RELEVER!A31</f>
        <v>ME30</v>
      </c>
      <c r="B32" s="43" t="s">
        <v>59</v>
      </c>
      <c r="C32" s="46">
        <v>1</v>
      </c>
      <c r="D32" s="8">
        <v>2445</v>
      </c>
      <c r="E32" s="64">
        <v>2595</v>
      </c>
      <c r="F32" s="56">
        <f>IFERROR(D32-RELEVER!O31*2-CHOOSE(MATCH(B32,{"Galandage";"Oscilot-battant";"Fixe";"Coulissant"},0),70,60,60,2+(C32-1)*25),"")</f>
        <v>2369</v>
      </c>
      <c r="G32" s="69">
        <v>2</v>
      </c>
      <c r="H32" s="56">
        <f>IFERROR(E32-RELEVER!O31-CHOOSE(MATCH(B32,{"Galandage";"Oscilot-battant";"Fixe";"Coulissant"},0),30,30,60,30),"")</f>
        <v>2527</v>
      </c>
      <c r="I32" s="58">
        <v>2</v>
      </c>
      <c r="J32" s="55">
        <f t="shared" si="7"/>
        <v>2527</v>
      </c>
      <c r="K32" s="55">
        <f t="shared" si="1"/>
        <v>2369</v>
      </c>
      <c r="L32" s="54">
        <f t="shared" si="0"/>
        <v>2595</v>
      </c>
      <c r="M32" s="89">
        <v>2</v>
      </c>
      <c r="N32" s="99">
        <f t="shared" si="2"/>
        <v>36.64</v>
      </c>
      <c r="O32" s="90">
        <f>IFERROR(D32-RELEVER!O31*2-CHOOSE(MATCH(B32,{"Galandage";"Oscilot-battant";"Fixe";"Coulissant"},0),27,60,60,2+(C32-1)*25),"")</f>
        <v>2369</v>
      </c>
      <c r="P32" s="72">
        <v>2</v>
      </c>
      <c r="Q32" s="75">
        <f>IFERROR(E32-RELEVER!O31-CHOOSE(MATCH(B32,{"Galandage";"Oscilot-battant";"Fixe";"Coulissant"},0),30,101,60,35),"")</f>
        <v>2527</v>
      </c>
      <c r="R32" s="60">
        <v>2</v>
      </c>
      <c r="S32" s="78">
        <f t="shared" si="3"/>
        <v>2527</v>
      </c>
      <c r="T32" s="56">
        <f t="shared" si="8"/>
        <v>2369</v>
      </c>
      <c r="U32" s="93">
        <f t="shared" si="4"/>
        <v>2527</v>
      </c>
      <c r="V32" s="99">
        <f t="shared" si="5"/>
        <v>36.64</v>
      </c>
      <c r="W32" s="96">
        <f t="shared" si="6"/>
        <v>73.28</v>
      </c>
    </row>
    <row r="33" spans="1:23" ht="15.75" thickBot="1" x14ac:dyDescent="0.3">
      <c r="A33" s="40" t="str">
        <f>RELEVER!A32</f>
        <v>ME31</v>
      </c>
      <c r="B33" s="44" t="s">
        <v>87</v>
      </c>
      <c r="C33" s="47">
        <v>4</v>
      </c>
      <c r="D33" s="39">
        <v>8438</v>
      </c>
      <c r="E33" s="68">
        <v>2985</v>
      </c>
      <c r="F33" s="53">
        <f>IFERROR(D33-RELEVER!O32*2-CHOOSE(MATCH(B33,{"Galandage";"Oscilot-battant";"Fixe";"Coulissant"},0),70,60,60,2+(C33-1)*25),"")</f>
        <v>8345</v>
      </c>
      <c r="G33" s="71">
        <v>2</v>
      </c>
      <c r="H33" s="53">
        <f>IFERROR(E33-RELEVER!O32-CHOOSE(MATCH(B33,{"Galandage";"Oscilot-battant";"Fixe";"Coulissant"},0),30,30,60,30),"")</f>
        <v>2947</v>
      </c>
      <c r="I33" s="62">
        <v>2</v>
      </c>
      <c r="J33" s="38">
        <f t="shared" si="7"/>
        <v>2947</v>
      </c>
      <c r="K33" s="38">
        <f t="shared" si="1"/>
        <v>8345</v>
      </c>
      <c r="L33" s="53">
        <f t="shared" si="0"/>
        <v>2985</v>
      </c>
      <c r="M33" s="74">
        <v>2</v>
      </c>
      <c r="N33" s="83">
        <f t="shared" si="2"/>
        <v>79.28</v>
      </c>
      <c r="O33" s="92">
        <f>IFERROR(D33-RELEVER!O32*2-CHOOSE(MATCH(B33,{"Galandage";"Oscilot-battant";"Fixe";"Coulissant"},0),27,60,60,2+(C33-1)*25),"")</f>
        <v>8345</v>
      </c>
      <c r="P33" s="74">
        <v>2</v>
      </c>
      <c r="Q33" s="77">
        <f>IFERROR(E33-RELEVER!O32-CHOOSE(MATCH(B33,{"Galandage";"Oscilot-battant";"Fixe";"Coulissant"},0),30,101,60,35),"")</f>
        <v>2942</v>
      </c>
      <c r="R33" s="61">
        <v>2</v>
      </c>
      <c r="S33" s="80">
        <f t="shared" si="3"/>
        <v>2942</v>
      </c>
      <c r="T33" s="53">
        <f t="shared" si="8"/>
        <v>8345</v>
      </c>
      <c r="U33" s="95">
        <f t="shared" si="4"/>
        <v>2942</v>
      </c>
      <c r="V33" s="83">
        <f t="shared" si="5"/>
        <v>79.24666666666667</v>
      </c>
      <c r="W33" s="98">
        <f t="shared" si="6"/>
        <v>158.52666666666667</v>
      </c>
    </row>
  </sheetData>
  <mergeCells count="2">
    <mergeCell ref="F1:N1"/>
    <mergeCell ref="O1:V1"/>
  </mergeCells>
  <pageMargins left="0.7" right="0.7" top="0.75" bottom="0.75" header="0.3" footer="0.3"/>
  <pageSetup paperSize="8" scale="7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2F4852-DA33-4554-8FE7-8B6DAB6C4D64}">
  <sheetPr codeName="Feuil9"/>
  <dimension ref="A2:G49"/>
  <sheetViews>
    <sheetView topLeftCell="A10" workbookViewId="0">
      <selection activeCell="G23" sqref="G23"/>
    </sheetView>
  </sheetViews>
  <sheetFormatPr baseColWidth="10" defaultColWidth="11.42578125" defaultRowHeight="15" x14ac:dyDescent="0.25"/>
  <cols>
    <col min="2" max="2" width="20.7109375" customWidth="1"/>
    <col min="6" max="6" width="22.85546875" customWidth="1"/>
  </cols>
  <sheetData>
    <row r="2" spans="1:5" ht="21" x14ac:dyDescent="0.35">
      <c r="C2" s="188" t="str">
        <f>'PAGE DE GARDE'!D17</f>
        <v>PALMIER</v>
      </c>
    </row>
    <row r="4" spans="1:5" ht="15.75" thickBot="1" x14ac:dyDescent="0.3"/>
    <row r="5" spans="1:5" ht="32.25" thickBot="1" x14ac:dyDescent="0.55000000000000004">
      <c r="A5" s="180" t="s">
        <v>128</v>
      </c>
      <c r="C5" s="194"/>
    </row>
    <row r="6" spans="1:5" ht="15.75" thickBot="1" x14ac:dyDescent="0.3"/>
    <row r="7" spans="1:5" ht="15.75" thickBot="1" x14ac:dyDescent="0.3">
      <c r="A7" s="180" t="s">
        <v>129</v>
      </c>
      <c r="C7" s="154" t="str">
        <f>IF(C5="","",VLOOKUP($C$5,RELEVER!$A$2:$U$34,2,FALSE))</f>
        <v/>
      </c>
    </row>
    <row r="8" spans="1:5" ht="15.75" thickBot="1" x14ac:dyDescent="0.3"/>
    <row r="9" spans="1:5" ht="15.75" thickBot="1" x14ac:dyDescent="0.3">
      <c r="A9" s="180" t="s">
        <v>138</v>
      </c>
      <c r="C9" s="154" t="str">
        <f>IF(C5="","",VLOOKUP($C$5,RELEVER!$A$2:$U$34,3,FALSE))</f>
        <v/>
      </c>
    </row>
    <row r="10" spans="1:5" ht="15.75" thickBot="1" x14ac:dyDescent="0.3"/>
    <row r="11" spans="1:5" ht="15.75" thickBot="1" x14ac:dyDescent="0.3">
      <c r="A11" s="180" t="s">
        <v>139</v>
      </c>
      <c r="C11" s="154" t="str">
        <f>IF(C5="","",VLOOKUP($C$5,FOURNITURE!$A$2:$AA$34,4,FALSE))</f>
        <v/>
      </c>
    </row>
    <row r="12" spans="1:5" ht="15.75" thickBot="1" x14ac:dyDescent="0.3"/>
    <row r="13" spans="1:5" ht="15.75" thickBot="1" x14ac:dyDescent="0.3">
      <c r="A13" s="180" t="s">
        <v>141</v>
      </c>
      <c r="C13" s="154" t="str">
        <f>IF(C7="","",VLOOKUP($C$5,FOURNITURE!$A$2:$AA$34,7,FALSE))</f>
        <v/>
      </c>
      <c r="D13" s="1" t="s">
        <v>140</v>
      </c>
      <c r="E13" s="154" t="str">
        <f>IF(C5="","",VLOOKUP($C$5,FOURNITURE!$A$2:$AA$34,8,FALSE))</f>
        <v/>
      </c>
    </row>
    <row r="14" spans="1:5" ht="15.75" thickBot="1" x14ac:dyDescent="0.3">
      <c r="D14" s="1"/>
    </row>
    <row r="15" spans="1:5" ht="15.75" thickBot="1" x14ac:dyDescent="0.3">
      <c r="A15" s="180" t="s">
        <v>142</v>
      </c>
      <c r="C15" s="154" t="str">
        <f>IF(C5="","",VLOOKUP($C$5,RELEVER!$A$2:$U$34,11,FALSE))</f>
        <v/>
      </c>
      <c r="D15" s="1" t="s">
        <v>140</v>
      </c>
      <c r="E15" s="154" t="str">
        <f>IF(C5="","",VLOOKUP($C$5,RELEVER!$A$2:$U$34,12,FALSE))</f>
        <v/>
      </c>
    </row>
    <row r="18" spans="1:7" ht="15.75" thickBot="1" x14ac:dyDescent="0.3">
      <c r="A18" s="180" t="s">
        <v>177</v>
      </c>
    </row>
    <row r="19" spans="1:7" ht="15.75" thickBot="1" x14ac:dyDescent="0.3">
      <c r="B19" s="186"/>
      <c r="C19" s="158" t="s">
        <v>132</v>
      </c>
      <c r="D19" s="159" t="s">
        <v>134</v>
      </c>
      <c r="E19" s="160" t="s">
        <v>135</v>
      </c>
    </row>
    <row r="20" spans="1:7" x14ac:dyDescent="0.25">
      <c r="B20" s="156" t="s">
        <v>175</v>
      </c>
      <c r="C20" s="161" t="str">
        <f>IF(C5="","",VLOOKUP($C$5,FOURNITURE!$A$2:$AA$34,25,FALSE))</f>
        <v/>
      </c>
      <c r="D20" s="211">
        <v>1</v>
      </c>
      <c r="E20" s="163"/>
    </row>
    <row r="21" spans="1:7" x14ac:dyDescent="0.25">
      <c r="B21" s="157" t="s">
        <v>174</v>
      </c>
      <c r="C21" s="164" t="str">
        <f>IF(C5="","",VLOOKUP($C$5,FOURNITURE!$A$2:$AA$34,26,FALSE))</f>
        <v/>
      </c>
      <c r="D21" s="212">
        <v>1</v>
      </c>
      <c r="E21" s="165"/>
    </row>
    <row r="22" spans="1:7" x14ac:dyDescent="0.25">
      <c r="B22" s="219" t="s">
        <v>173</v>
      </c>
      <c r="C22" s="169"/>
      <c r="D22" s="155"/>
      <c r="E22" s="165"/>
    </row>
    <row r="23" spans="1:7" ht="15.75" thickBot="1" x14ac:dyDescent="0.3">
      <c r="B23" s="220"/>
      <c r="C23" s="166"/>
      <c r="D23" s="167"/>
      <c r="E23" s="168"/>
    </row>
    <row r="24" spans="1:7" x14ac:dyDescent="0.25">
      <c r="A24" s="185"/>
      <c r="B24" s="185"/>
      <c r="C24" s="185"/>
      <c r="D24" s="185"/>
      <c r="E24" s="185"/>
      <c r="F24" s="185"/>
      <c r="G24" s="185"/>
    </row>
    <row r="25" spans="1:7" ht="15.75" thickBot="1" x14ac:dyDescent="0.3">
      <c r="A25" s="189" t="s">
        <v>178</v>
      </c>
      <c r="B25" s="185"/>
      <c r="C25" s="185"/>
      <c r="D25" s="185"/>
      <c r="E25" s="185"/>
      <c r="F25" s="185"/>
      <c r="G25" s="185"/>
    </row>
    <row r="26" spans="1:7" ht="15.75" thickBot="1" x14ac:dyDescent="0.3">
      <c r="A26" s="189"/>
      <c r="B26" s="185"/>
      <c r="C26" s="158" t="s">
        <v>132</v>
      </c>
      <c r="D26" s="159" t="s">
        <v>188</v>
      </c>
      <c r="E26" s="159" t="s">
        <v>189</v>
      </c>
      <c r="F26" s="160" t="s">
        <v>135</v>
      </c>
      <c r="G26" s="185"/>
    </row>
    <row r="27" spans="1:7" x14ac:dyDescent="0.25">
      <c r="B27" s="156" t="s">
        <v>172</v>
      </c>
      <c r="C27" s="197" t="s">
        <v>61</v>
      </c>
      <c r="D27" s="198" t="s">
        <v>61</v>
      </c>
      <c r="E27" s="162" t="str">
        <f>IF(C5="","",VLOOKUP($C$5,FOURNITURE!$A$2:$AA$34,24,FALSE))</f>
        <v/>
      </c>
      <c r="F27" s="163"/>
    </row>
    <row r="28" spans="1:7" x14ac:dyDescent="0.25">
      <c r="B28" s="157" t="s">
        <v>176</v>
      </c>
      <c r="C28" s="164"/>
      <c r="D28" s="155"/>
      <c r="E28" s="199" t="s">
        <v>61</v>
      </c>
      <c r="F28" s="165"/>
    </row>
    <row r="29" spans="1:7" x14ac:dyDescent="0.25">
      <c r="B29" s="157" t="s">
        <v>171</v>
      </c>
      <c r="C29" s="200" t="s">
        <v>61</v>
      </c>
      <c r="D29" s="199" t="s">
        <v>61</v>
      </c>
      <c r="E29" s="155" t="str">
        <f>IF(C5="","",VLOOKUP($C$5,FOURNITURE!$A$2:$AA$34,18,FALSE))</f>
        <v/>
      </c>
      <c r="F29" s="165" t="str">
        <f>IF(C5="","",VLOOKUP($C$5,FOURNITURE!$A$2:$AA$34,19,FALSE))</f>
        <v/>
      </c>
    </row>
    <row r="30" spans="1:7" x14ac:dyDescent="0.25">
      <c r="B30" s="157" t="s">
        <v>170</v>
      </c>
      <c r="C30" s="200" t="s">
        <v>61</v>
      </c>
      <c r="D30" s="199" t="s">
        <v>61</v>
      </c>
      <c r="E30" s="155" t="str">
        <f>IF(C5="","",VLOOKUP($C$5,FOURNITURE!$A$2:$AA$34,20,FALSE))</f>
        <v/>
      </c>
      <c r="F30" s="165"/>
    </row>
    <row r="31" spans="1:7" x14ac:dyDescent="0.25">
      <c r="B31" s="157" t="s">
        <v>169</v>
      </c>
      <c r="C31" s="200" t="s">
        <v>61</v>
      </c>
      <c r="D31" s="199" t="s">
        <v>61</v>
      </c>
      <c r="E31" s="155"/>
      <c r="F31" s="165"/>
    </row>
    <row r="32" spans="1:7" x14ac:dyDescent="0.25">
      <c r="B32" s="157" t="s">
        <v>168</v>
      </c>
      <c r="C32" s="164"/>
      <c r="D32" s="155"/>
      <c r="E32" s="199" t="s">
        <v>61</v>
      </c>
      <c r="F32" s="165"/>
    </row>
    <row r="33" spans="1:6" x14ac:dyDescent="0.25">
      <c r="B33" s="157" t="s">
        <v>167</v>
      </c>
      <c r="C33" s="164"/>
      <c r="D33" s="199" t="s">
        <v>61</v>
      </c>
      <c r="E33" s="199" t="s">
        <v>61</v>
      </c>
      <c r="F33" s="165"/>
    </row>
    <row r="34" spans="1:6" x14ac:dyDescent="0.25">
      <c r="B34" s="157" t="s">
        <v>166</v>
      </c>
      <c r="C34" s="164" t="str">
        <f>IF(C5="","",VLOOKUP($C$5,FOURNITURE!$A$2:$AA$34,16,FALSE))</f>
        <v/>
      </c>
      <c r="D34" s="199" t="s">
        <v>61</v>
      </c>
      <c r="E34" s="199" t="s">
        <v>61</v>
      </c>
      <c r="F34" s="165"/>
    </row>
    <row r="35" spans="1:6" x14ac:dyDescent="0.25">
      <c r="B35" s="157" t="s">
        <v>190</v>
      </c>
      <c r="C35" s="196" t="s">
        <v>61</v>
      </c>
      <c r="D35" s="155" t="str">
        <f>IF(C5="","",VLOOKUP($C$5,FOURNITURE!$A$2:$AA$34,8,FALSE))</f>
        <v/>
      </c>
      <c r="E35" s="199" t="s">
        <v>61</v>
      </c>
      <c r="F35" s="165"/>
    </row>
    <row r="36" spans="1:6" x14ac:dyDescent="0.25">
      <c r="B36" s="195" t="s">
        <v>165</v>
      </c>
      <c r="C36" s="164" t="e">
        <f>IF(C5="","",VLOOKUP($C$5,FOURNITURE!$A$2:$AA$34,9,FALSE))-40</f>
        <v>#VALUE!</v>
      </c>
      <c r="D36" s="164" t="e">
        <f>IF(C5="","",VLOOKUP($C$5,FOURNITURE!$A$2:$AA$34,8,FALSE))-25</f>
        <v>#VALUE!</v>
      </c>
      <c r="E36" s="155"/>
      <c r="F36" s="165"/>
    </row>
    <row r="37" spans="1:6" ht="15.75" thickBot="1" x14ac:dyDescent="0.3">
      <c r="B37" s="170" t="s">
        <v>187</v>
      </c>
      <c r="C37" s="201" t="s">
        <v>61</v>
      </c>
      <c r="D37" s="202" t="s">
        <v>61</v>
      </c>
      <c r="E37" s="167" t="str">
        <f>IF(C5="","",VLOOKUP($C$5,FOURNITURE!$A$2:$AA$34,14,FALSE))</f>
        <v/>
      </c>
      <c r="F37" s="168" t="str">
        <f>IF(C5="","",VLOOKUP($C$5,FOURNITURE!$A$2:$AA$34,15,FALSE))</f>
        <v/>
      </c>
    </row>
    <row r="38" spans="1:6" x14ac:dyDescent="0.25">
      <c r="B38" s="187"/>
      <c r="C38" s="185"/>
      <c r="D38" s="185"/>
      <c r="E38" s="185"/>
      <c r="F38" s="185"/>
    </row>
    <row r="39" spans="1:6" ht="15.75" thickBot="1" x14ac:dyDescent="0.3">
      <c r="A39" s="180" t="s">
        <v>131</v>
      </c>
    </row>
    <row r="40" spans="1:6" ht="15.75" thickBot="1" x14ac:dyDescent="0.3">
      <c r="C40" s="158" t="s">
        <v>132</v>
      </c>
      <c r="D40" s="159" t="s">
        <v>133</v>
      </c>
      <c r="E40" s="159" t="s">
        <v>134</v>
      </c>
      <c r="F40" s="160" t="s">
        <v>135</v>
      </c>
    </row>
    <row r="41" spans="1:6" x14ac:dyDescent="0.25">
      <c r="B41" s="156" t="s">
        <v>179</v>
      </c>
      <c r="C41" s="197" t="s">
        <v>61</v>
      </c>
      <c r="D41" s="162" t="str">
        <f>IF(C5="","",VLOOKUP($C$5,PROTECTION!$A$2:$AA$34,7,FALSE))</f>
        <v/>
      </c>
      <c r="E41" s="162">
        <v>1</v>
      </c>
      <c r="F41" s="163"/>
    </row>
    <row r="42" spans="1:6" x14ac:dyDescent="0.25">
      <c r="B42" s="209" t="s">
        <v>180</v>
      </c>
      <c r="C42" s="200" t="s">
        <v>61</v>
      </c>
      <c r="D42" s="155" t="str">
        <f>IF(C5="","",VLOOKUP($C$5,PROTECTION!$A$2:$AA$34,17,FALSE))</f>
        <v/>
      </c>
      <c r="E42" s="155">
        <v>1</v>
      </c>
      <c r="F42" s="165"/>
    </row>
    <row r="43" spans="1:6" x14ac:dyDescent="0.25">
      <c r="B43" s="209" t="s">
        <v>181</v>
      </c>
      <c r="C43" s="164" t="str">
        <f>IF(C5="","",VLOOKUP($C$5,PROTECTION!$A$2:$AA$34,6,FALSE))</f>
        <v/>
      </c>
      <c r="D43" s="199" t="s">
        <v>61</v>
      </c>
      <c r="E43" s="155">
        <v>1</v>
      </c>
      <c r="F43" s="165"/>
    </row>
    <row r="44" spans="1:6" x14ac:dyDescent="0.25">
      <c r="B44" s="209" t="s">
        <v>182</v>
      </c>
      <c r="C44" s="164" t="str">
        <f>IF(C5="","",VLOOKUP($C$5,PROTECTION!$A$2:$AA$34,15,FALSE))</f>
        <v/>
      </c>
      <c r="D44" s="199" t="s">
        <v>61</v>
      </c>
      <c r="E44" s="155">
        <v>1</v>
      </c>
      <c r="F44" s="165"/>
    </row>
    <row r="45" spans="1:6" x14ac:dyDescent="0.25">
      <c r="B45" s="209" t="s">
        <v>183</v>
      </c>
      <c r="C45" s="164" t="str">
        <f>IF(C5="","",VLOOKUP($C$5,PROTECTION!$A$2:$AA$34,6,FALSE))</f>
        <v/>
      </c>
      <c r="D45" s="199" t="s">
        <v>61</v>
      </c>
      <c r="E45" s="155">
        <v>1</v>
      </c>
      <c r="F45" s="165"/>
    </row>
    <row r="46" spans="1:6" x14ac:dyDescent="0.25">
      <c r="B46" s="209" t="s">
        <v>184</v>
      </c>
      <c r="C46" s="164" t="str">
        <f>IF(C5="","",VLOOKUP($C$5,PROTECTION!$A$2:$AA$34,15,FALSE))</f>
        <v/>
      </c>
      <c r="D46" s="199" t="s">
        <v>61</v>
      </c>
      <c r="E46" s="155">
        <v>1</v>
      </c>
      <c r="F46" s="165"/>
    </row>
    <row r="47" spans="1:6" x14ac:dyDescent="0.25">
      <c r="B47" s="157" t="s">
        <v>136</v>
      </c>
      <c r="C47" s="164" t="str">
        <f>IF(C5="","",VLOOKUP($C$5,PROTECTION!$A$2:$AA$34,11,FALSE))</f>
        <v/>
      </c>
      <c r="D47" s="155" t="str">
        <f>IF(C5="","",VLOOKUP($C$5,PROTECTION!$A$2:$AA$34,10,FALSE))</f>
        <v/>
      </c>
      <c r="E47" s="155">
        <v>1</v>
      </c>
      <c r="F47" s="203" t="s">
        <v>61</v>
      </c>
    </row>
    <row r="48" spans="1:6" x14ac:dyDescent="0.25">
      <c r="B48" s="157" t="s">
        <v>137</v>
      </c>
      <c r="C48" s="164" t="str">
        <f>IF(C5="","",VLOOKUP($C$5,PROTECTION!$A$2:$AA$34,19,FALSE))</f>
        <v/>
      </c>
      <c r="D48" s="155" t="str">
        <f>IF(C5="","",VLOOKUP($C$5,PROTECTION!$A$2:$AA$34,20,FALSE))</f>
        <v/>
      </c>
      <c r="E48" s="155">
        <v>1</v>
      </c>
      <c r="F48" s="203" t="s">
        <v>61</v>
      </c>
    </row>
    <row r="49" spans="2:6" ht="15.75" thickBot="1" x14ac:dyDescent="0.3">
      <c r="B49" s="210" t="s">
        <v>130</v>
      </c>
      <c r="C49" s="201" t="s">
        <v>61</v>
      </c>
      <c r="D49" s="202" t="s">
        <v>61</v>
      </c>
      <c r="E49" s="167" t="str">
        <f>IF(C5="","",VLOOKUP($C$5,PROTECTION!$A$2:$AA$34,23,FALSE))</f>
        <v/>
      </c>
      <c r="F49" s="168"/>
    </row>
  </sheetData>
  <mergeCells count="1">
    <mergeCell ref="B22:B23"/>
  </mergeCells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796B36-6C86-4BDF-8981-2A32493E3426}">
  <sheetPr codeName="Feuil10"/>
  <dimension ref="A2:G49"/>
  <sheetViews>
    <sheetView tabSelected="1" topLeftCell="A10" workbookViewId="0">
      <selection activeCell="G40" sqref="G40"/>
    </sheetView>
  </sheetViews>
  <sheetFormatPr baseColWidth="10" defaultColWidth="11.42578125" defaultRowHeight="15" x14ac:dyDescent="0.25"/>
  <cols>
    <col min="2" max="2" width="20.7109375" customWidth="1"/>
    <col min="6" max="6" width="22.85546875" customWidth="1"/>
  </cols>
  <sheetData>
    <row r="2" spans="1:5" ht="21" x14ac:dyDescent="0.35">
      <c r="C2" s="188" t="str">
        <f>'PAGE DE GARDE'!D17</f>
        <v>PALMIER</v>
      </c>
    </row>
    <row r="4" spans="1:5" ht="15.75" thickBot="1" x14ac:dyDescent="0.3"/>
    <row r="5" spans="1:5" ht="32.25" thickBot="1" x14ac:dyDescent="0.55000000000000004">
      <c r="A5" s="180" t="s">
        <v>128</v>
      </c>
      <c r="C5" s="194" t="s">
        <v>18</v>
      </c>
    </row>
    <row r="6" spans="1:5" ht="15.75" thickBot="1" x14ac:dyDescent="0.3"/>
    <row r="7" spans="1:5" ht="15.75" thickBot="1" x14ac:dyDescent="0.3">
      <c r="A7" s="180" t="s">
        <v>129</v>
      </c>
      <c r="C7" s="154" t="str">
        <f>IF(C5="","",VLOOKUP($C$5,RELEVER!$A$2:$U$34,2,FALSE))</f>
        <v>Galandage</v>
      </c>
    </row>
    <row r="8" spans="1:5" ht="15.75" thickBot="1" x14ac:dyDescent="0.3"/>
    <row r="9" spans="1:5" ht="15.75" thickBot="1" x14ac:dyDescent="0.3">
      <c r="A9" s="180" t="s">
        <v>138</v>
      </c>
      <c r="C9" s="154">
        <f>IF(C5="","",VLOOKUP($C$5,RELEVER!$A$2:$U$34,3,FALSE))</f>
        <v>1</v>
      </c>
    </row>
    <row r="10" spans="1:5" ht="15.75" thickBot="1" x14ac:dyDescent="0.3"/>
    <row r="11" spans="1:5" ht="15.75" thickBot="1" x14ac:dyDescent="0.3">
      <c r="A11" s="180" t="s">
        <v>139</v>
      </c>
      <c r="C11" s="154">
        <f>IF(C5="","",VLOOKUP($C$5,FOURNITURE!$A$2:$AA$34,4,FALSE))</f>
        <v>1</v>
      </c>
    </row>
    <row r="12" spans="1:5" ht="15.75" thickBot="1" x14ac:dyDescent="0.3"/>
    <row r="13" spans="1:5" ht="15.75" thickBot="1" x14ac:dyDescent="0.3">
      <c r="A13" s="180" t="s">
        <v>141</v>
      </c>
      <c r="C13" s="154">
        <f>IF(C7="","",VLOOKUP($C$5,FOURNITURE!$A$2:$AA$34,7,FALSE))</f>
        <v>1620</v>
      </c>
      <c r="D13" s="1" t="s">
        <v>140</v>
      </c>
      <c r="E13" s="154">
        <f>IF(C5="","",VLOOKUP($C$5,FOURNITURE!$A$2:$AA$34,8,FALSE))</f>
        <v>2490</v>
      </c>
    </row>
    <row r="14" spans="1:5" ht="15.75" thickBot="1" x14ac:dyDescent="0.3">
      <c r="D14" s="1"/>
    </row>
    <row r="15" spans="1:5" ht="15.75" thickBot="1" x14ac:dyDescent="0.3">
      <c r="A15" s="180" t="s">
        <v>142</v>
      </c>
      <c r="C15" s="154">
        <f>IF(C5="","",VLOOKUP($C$5,RELEVER!$A$2:$U$34,11,FALSE))</f>
        <v>1520</v>
      </c>
      <c r="D15" s="1" t="s">
        <v>140</v>
      </c>
      <c r="E15" s="154">
        <f>IF(C5="","",VLOOKUP($C$5,RELEVER!$A$2:$U$34,12,FALSE))</f>
        <v>2440</v>
      </c>
    </row>
    <row r="18" spans="1:7" ht="15.75" thickBot="1" x14ac:dyDescent="0.3">
      <c r="A18" s="180" t="s">
        <v>177</v>
      </c>
    </row>
    <row r="19" spans="1:7" ht="15.75" thickBot="1" x14ac:dyDescent="0.3">
      <c r="B19" s="186"/>
      <c r="C19" s="158" t="s">
        <v>132</v>
      </c>
      <c r="D19" s="159" t="s">
        <v>134</v>
      </c>
      <c r="E19" s="160" t="s">
        <v>135</v>
      </c>
    </row>
    <row r="20" spans="1:7" x14ac:dyDescent="0.25">
      <c r="B20" s="156" t="s">
        <v>175</v>
      </c>
      <c r="C20" s="161">
        <f>IF(C5="","",VLOOKUP($C$5,FOURNITURE!$A$2:$AA$34,25,FALSE))</f>
        <v>1620</v>
      </c>
      <c r="D20" s="211">
        <v>1</v>
      </c>
      <c r="E20" s="163"/>
    </row>
    <row r="21" spans="1:7" x14ac:dyDescent="0.25">
      <c r="B21" s="157" t="s">
        <v>174</v>
      </c>
      <c r="C21" s="164">
        <f>IF(C5="","",VLOOKUP($C$5,FOURNITURE!$A$2:$AA$34,26,FALSE))</f>
        <v>1685</v>
      </c>
      <c r="D21" s="212">
        <v>1</v>
      </c>
      <c r="E21" s="165"/>
    </row>
    <row r="22" spans="1:7" x14ac:dyDescent="0.25">
      <c r="B22" s="219" t="s">
        <v>173</v>
      </c>
      <c r="C22" s="169"/>
      <c r="D22" s="155"/>
      <c r="E22" s="165"/>
    </row>
    <row r="23" spans="1:7" ht="15.75" thickBot="1" x14ac:dyDescent="0.3">
      <c r="B23" s="220"/>
      <c r="C23" s="166"/>
      <c r="D23" s="167"/>
      <c r="E23" s="168"/>
    </row>
    <row r="24" spans="1:7" x14ac:dyDescent="0.25">
      <c r="A24" s="185"/>
      <c r="B24" s="185"/>
      <c r="C24" s="185"/>
      <c r="D24" s="185"/>
      <c r="E24" s="185"/>
      <c r="F24" s="185"/>
      <c r="G24" s="185"/>
    </row>
    <row r="25" spans="1:7" ht="15.75" thickBot="1" x14ac:dyDescent="0.3">
      <c r="A25" s="189" t="s">
        <v>178</v>
      </c>
      <c r="B25" s="185"/>
      <c r="C25" s="185"/>
      <c r="D25" s="185"/>
      <c r="E25" s="185"/>
      <c r="F25" s="185"/>
      <c r="G25" s="185"/>
    </row>
    <row r="26" spans="1:7" ht="15.75" thickBot="1" x14ac:dyDescent="0.3">
      <c r="A26" s="189"/>
      <c r="B26" s="185"/>
      <c r="C26" s="158" t="s">
        <v>132</v>
      </c>
      <c r="D26" s="159" t="s">
        <v>188</v>
      </c>
      <c r="E26" s="159" t="s">
        <v>189</v>
      </c>
      <c r="F26" s="160" t="s">
        <v>135</v>
      </c>
      <c r="G26" s="185"/>
    </row>
    <row r="27" spans="1:7" x14ac:dyDescent="0.25">
      <c r="B27" s="156" t="s">
        <v>172</v>
      </c>
      <c r="C27" s="197" t="s">
        <v>61</v>
      </c>
      <c r="D27" s="198" t="s">
        <v>61</v>
      </c>
      <c r="E27" s="162">
        <f>IF(C5="","",VLOOKUP($C$5,FOURNITURE!$A$2:$AA$34,24,FALSE))</f>
        <v>9.1593750000000007</v>
      </c>
      <c r="F27" s="163"/>
    </row>
    <row r="28" spans="1:7" x14ac:dyDescent="0.25">
      <c r="B28" s="157" t="s">
        <v>176</v>
      </c>
      <c r="C28" s="164"/>
      <c r="D28" s="155"/>
      <c r="E28" s="199" t="s">
        <v>61</v>
      </c>
      <c r="F28" s="165"/>
    </row>
    <row r="29" spans="1:7" x14ac:dyDescent="0.25">
      <c r="B29" s="157" t="s">
        <v>171</v>
      </c>
      <c r="C29" s="200" t="s">
        <v>61</v>
      </c>
      <c r="D29" s="199" t="s">
        <v>61</v>
      </c>
      <c r="E29" s="155">
        <f>IF(C5="","",VLOOKUP($C$5,FOURNITURE!$A$2:$AA$34,18,FALSE))</f>
        <v>9.1593750000000007</v>
      </c>
      <c r="F29" s="165" t="str">
        <f>IF(C5="","",VLOOKUP($C$5,FOURNITURE!$A$2:$AA$34,19,FALSE))</f>
        <v>IT 18021895-CP14GG</v>
      </c>
    </row>
    <row r="30" spans="1:7" x14ac:dyDescent="0.25">
      <c r="B30" s="157" t="s">
        <v>170</v>
      </c>
      <c r="C30" s="200" t="s">
        <v>61</v>
      </c>
      <c r="D30" s="199" t="s">
        <v>61</v>
      </c>
      <c r="E30" s="155">
        <f>IF(C5="","",VLOOKUP($C$5,FOURNITURE!$A$2:$AA$34,20,FALSE))</f>
        <v>9.1593750000000007</v>
      </c>
      <c r="F30" s="165"/>
    </row>
    <row r="31" spans="1:7" x14ac:dyDescent="0.25">
      <c r="B31" s="157" t="s">
        <v>169</v>
      </c>
      <c r="C31" s="200" t="s">
        <v>61</v>
      </c>
      <c r="D31" s="199" t="s">
        <v>61</v>
      </c>
      <c r="E31" s="155"/>
      <c r="F31" s="165"/>
    </row>
    <row r="32" spans="1:7" x14ac:dyDescent="0.25">
      <c r="B32" s="157" t="s">
        <v>168</v>
      </c>
      <c r="C32" s="164"/>
      <c r="D32" s="155"/>
      <c r="E32" s="199" t="s">
        <v>61</v>
      </c>
      <c r="F32" s="165"/>
    </row>
    <row r="33" spans="1:6" x14ac:dyDescent="0.25">
      <c r="B33" s="157" t="s">
        <v>167</v>
      </c>
      <c r="C33" s="164"/>
      <c r="D33" s="199" t="s">
        <v>61</v>
      </c>
      <c r="E33" s="199" t="s">
        <v>61</v>
      </c>
      <c r="F33" s="165"/>
    </row>
    <row r="34" spans="1:6" x14ac:dyDescent="0.25">
      <c r="B34" s="157" t="s">
        <v>166</v>
      </c>
      <c r="C34" s="164" t="str">
        <f>IF(C5="","",VLOOKUP($C$5,FOURNITURE!$A$2:$AA$34,16,FALSE))</f>
        <v>0</v>
      </c>
      <c r="D34" s="199" t="s">
        <v>61</v>
      </c>
      <c r="E34" s="199" t="s">
        <v>61</v>
      </c>
      <c r="F34" s="165"/>
    </row>
    <row r="35" spans="1:6" x14ac:dyDescent="0.25">
      <c r="B35" s="157" t="s">
        <v>190</v>
      </c>
      <c r="C35" s="196" t="s">
        <v>61</v>
      </c>
      <c r="D35" s="155">
        <f>IF(C5="","",VLOOKUP($C$5,FOURNITURE!$A$2:$AA$34,8,FALSE))</f>
        <v>2490</v>
      </c>
      <c r="E35" s="199" t="s">
        <v>61</v>
      </c>
      <c r="F35" s="165"/>
    </row>
    <row r="36" spans="1:6" x14ac:dyDescent="0.25">
      <c r="B36" s="195" t="s">
        <v>165</v>
      </c>
      <c r="C36" s="164">
        <f>IF(C5="","",VLOOKUP($C$5,FOURNITURE!$A$2:$AA$34,9,FALSE))-40</f>
        <v>1595</v>
      </c>
      <c r="D36" s="164">
        <f>IF(C5="","",VLOOKUP($C$5,FOURNITURE!$A$2:$AA$34,8,FALSE))-25</f>
        <v>2465</v>
      </c>
      <c r="E36" s="155"/>
      <c r="F36" s="165"/>
    </row>
    <row r="37" spans="1:6" ht="15.75" thickBot="1" x14ac:dyDescent="0.3">
      <c r="B37" s="170" t="s">
        <v>187</v>
      </c>
      <c r="C37" s="201" t="s">
        <v>61</v>
      </c>
      <c r="D37" s="202" t="s">
        <v>61</v>
      </c>
      <c r="E37" s="167">
        <f>IF(C5="","",VLOOKUP($C$5,FOURNITURE!$A$2:$AA$34,14,FALSE))</f>
        <v>9.1593750000000007</v>
      </c>
      <c r="F37" s="168"/>
    </row>
    <row r="38" spans="1:6" x14ac:dyDescent="0.25">
      <c r="B38" s="187"/>
      <c r="C38" s="185"/>
      <c r="D38" s="185"/>
      <c r="E38" s="185"/>
      <c r="F38" s="185"/>
    </row>
    <row r="39" spans="1:6" ht="15.75" thickBot="1" x14ac:dyDescent="0.3">
      <c r="A39" s="180" t="s">
        <v>131</v>
      </c>
    </row>
    <row r="40" spans="1:6" ht="15.75" thickBot="1" x14ac:dyDescent="0.3">
      <c r="C40" s="158" t="s">
        <v>132</v>
      </c>
      <c r="D40" s="159" t="s">
        <v>133</v>
      </c>
      <c r="E40" s="159" t="s">
        <v>134</v>
      </c>
      <c r="F40" s="160" t="s">
        <v>135</v>
      </c>
    </row>
    <row r="41" spans="1:6" x14ac:dyDescent="0.25">
      <c r="B41" s="156" t="s">
        <v>179</v>
      </c>
      <c r="C41" s="197" t="s">
        <v>61</v>
      </c>
      <c r="D41" s="162">
        <f>IF(C5="","",VLOOKUP($C$5,PROTECTION!$A$2:$AA$34,7,FALSE))</f>
        <v>2</v>
      </c>
      <c r="E41" s="162">
        <v>1</v>
      </c>
      <c r="F41" s="163"/>
    </row>
    <row r="42" spans="1:6" x14ac:dyDescent="0.25">
      <c r="B42" s="209" t="s">
        <v>180</v>
      </c>
      <c r="C42" s="200" t="s">
        <v>61</v>
      </c>
      <c r="D42" s="155">
        <f>IF(C5="","",VLOOKUP($C$5,PROTECTION!$A$2:$AA$34,17,FALSE))</f>
        <v>2410</v>
      </c>
      <c r="E42" s="155">
        <v>1</v>
      </c>
      <c r="F42" s="165"/>
    </row>
    <row r="43" spans="1:6" x14ac:dyDescent="0.25">
      <c r="B43" s="209" t="s">
        <v>181</v>
      </c>
      <c r="C43" s="164">
        <f>IF(C5="","",VLOOKUP($C$5,PROTECTION!$A$2:$AA$34,6,FALSE))</f>
        <v>1450</v>
      </c>
      <c r="D43" s="199" t="s">
        <v>61</v>
      </c>
      <c r="E43" s="155">
        <v>1</v>
      </c>
      <c r="F43" s="165"/>
    </row>
    <row r="44" spans="1:6" x14ac:dyDescent="0.25">
      <c r="B44" s="209" t="s">
        <v>182</v>
      </c>
      <c r="C44" s="164">
        <f>IF(C5="","",VLOOKUP($C$5,PROTECTION!$A$2:$AA$34,15,FALSE))</f>
        <v>1493</v>
      </c>
      <c r="D44" s="199" t="s">
        <v>61</v>
      </c>
      <c r="E44" s="155">
        <v>1</v>
      </c>
      <c r="F44" s="165"/>
    </row>
    <row r="45" spans="1:6" x14ac:dyDescent="0.25">
      <c r="B45" s="209" t="s">
        <v>183</v>
      </c>
      <c r="C45" s="164">
        <f>IF(C5="","",VLOOKUP($C$5,PROTECTION!$A$2:$AA$34,6,FALSE))</f>
        <v>1450</v>
      </c>
      <c r="D45" s="199" t="s">
        <v>61</v>
      </c>
      <c r="E45" s="155">
        <v>1</v>
      </c>
      <c r="F45" s="165"/>
    </row>
    <row r="46" spans="1:6" x14ac:dyDescent="0.25">
      <c r="B46" s="209" t="s">
        <v>184</v>
      </c>
      <c r="C46" s="164">
        <f>IF(C5="","",VLOOKUP($C$5,PROTECTION!$A$2:$AA$34,15,FALSE))</f>
        <v>1493</v>
      </c>
      <c r="D46" s="199" t="s">
        <v>61</v>
      </c>
      <c r="E46" s="155">
        <v>1</v>
      </c>
      <c r="F46" s="165"/>
    </row>
    <row r="47" spans="1:6" x14ac:dyDescent="0.25">
      <c r="B47" s="157" t="s">
        <v>136</v>
      </c>
      <c r="C47" s="164">
        <f>IF(C5="","",VLOOKUP($C$5,PROTECTION!$A$2:$AA$34,11,FALSE))</f>
        <v>1450</v>
      </c>
      <c r="D47" s="155">
        <f>IF(C5="","",VLOOKUP($C$5,PROTECTION!$A$2:$AA$34,10,FALSE))</f>
        <v>2410</v>
      </c>
      <c r="E47" s="155">
        <v>1</v>
      </c>
      <c r="F47" s="203" t="s">
        <v>61</v>
      </c>
    </row>
    <row r="48" spans="1:6" x14ac:dyDescent="0.25">
      <c r="B48" s="157" t="s">
        <v>137</v>
      </c>
      <c r="C48" s="164">
        <f>IF(C5="","",VLOOKUP($C$5,PROTECTION!$A$2:$AA$34,19,FALSE))</f>
        <v>2410</v>
      </c>
      <c r="D48" s="155">
        <f>IF(C5="","",VLOOKUP($C$5,PROTECTION!$A$2:$AA$34,20,FALSE))</f>
        <v>1493</v>
      </c>
      <c r="E48" s="155">
        <v>1</v>
      </c>
      <c r="F48" s="203" t="s">
        <v>61</v>
      </c>
    </row>
    <row r="49" spans="2:6" ht="15.75" thickBot="1" x14ac:dyDescent="0.3">
      <c r="B49" s="210" t="s">
        <v>130</v>
      </c>
      <c r="C49" s="201" t="s">
        <v>61</v>
      </c>
      <c r="D49" s="202" t="s">
        <v>61</v>
      </c>
      <c r="E49" s="167">
        <f>IF(C5="","",VLOOKUP($C$5,PROTECTION!$A$2:$AA$34,23,FALSE))</f>
        <v>59.75333333333333</v>
      </c>
      <c r="F49" s="168"/>
    </row>
  </sheetData>
  <mergeCells count="1">
    <mergeCell ref="B22:B23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QUESTIONNAIRE</vt:lpstr>
      <vt:lpstr>PAGE DE GARDE</vt:lpstr>
      <vt:lpstr>RELEVER</vt:lpstr>
      <vt:lpstr>FOURNITURE</vt:lpstr>
      <vt:lpstr>PROTECTION</vt:lpstr>
      <vt:lpstr>BASE</vt:lpstr>
      <vt:lpstr>ME10</vt:lpstr>
      <vt:lpstr>RELEVER!Zone_d_impression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Boss</dc:creator>
  <cp:lastModifiedBy>Boss</cp:lastModifiedBy>
  <cp:lastPrinted>2018-08-13T13:14:12Z</cp:lastPrinted>
  <dcterms:created xsi:type="dcterms:W3CDTF">2018-05-11T13:38:14Z</dcterms:created>
  <dcterms:modified xsi:type="dcterms:W3CDTF">2018-08-24T11:56:52Z</dcterms:modified>
</cp:coreProperties>
</file>